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55" activeTab="1"/>
  </bookViews>
  <sheets>
    <sheet name="сорт.структура РГК" sheetId="1" r:id="rId1"/>
    <sheet name="Освоєння РГК" sheetId="2" r:id="rId2"/>
    <sheet name="сорт.структура РПЗЛГ" sheetId="5" r:id="rId3"/>
  </sheets>
  <definedNames>
    <definedName name="_xlnm.Print_Area" localSheetId="1">'Освоєння РГК'!$A$1:$M$12</definedName>
    <definedName name="_xlnm.Print_Area" localSheetId="0">'сорт.структура РГК'!#REF!</definedName>
    <definedName name="_xlnm.Print_Area" localSheetId="2">'сорт.структура РПЗЛГ'!#REF!</definedName>
  </definedNames>
  <calcPr calcId="162913"/>
</workbook>
</file>

<file path=xl/calcChain.xml><?xml version="1.0" encoding="utf-8"?>
<calcChain xmlns="http://schemas.openxmlformats.org/spreadsheetml/2006/main">
  <c r="K12" i="2" l="1"/>
  <c r="I12" i="2"/>
  <c r="J12" i="2"/>
  <c r="H12" i="2"/>
  <c r="D11" i="5" l="1"/>
  <c r="D9" i="5"/>
  <c r="D12" i="5"/>
  <c r="P10" i="5"/>
  <c r="P9" i="5"/>
  <c r="D15" i="5"/>
  <c r="D9" i="1"/>
  <c r="E11" i="1"/>
  <c r="O11" i="1"/>
  <c r="O10" i="1"/>
  <c r="O9" i="1"/>
  <c r="P9" i="1"/>
  <c r="D11" i="1"/>
  <c r="D12" i="1"/>
  <c r="N11" i="1"/>
  <c r="P11" i="1"/>
  <c r="E12" i="1"/>
  <c r="D10" i="1"/>
  <c r="P10" i="1"/>
  <c r="N15" i="1"/>
  <c r="D15" i="1"/>
  <c r="O15" i="1"/>
  <c r="P15" i="1"/>
  <c r="D10" i="5"/>
  <c r="D14" i="5"/>
  <c r="P15" i="5"/>
  <c r="H11" i="1"/>
  <c r="I11" i="1"/>
  <c r="E15" i="1"/>
  <c r="K15" i="1"/>
  <c r="H15" i="1"/>
  <c r="I15" i="1"/>
  <c r="F9" i="2" l="1"/>
  <c r="E9" i="2"/>
  <c r="F11" i="2"/>
  <c r="E11" i="2"/>
  <c r="C16" i="1"/>
  <c r="M16" i="1" l="1"/>
  <c r="G16" i="1"/>
  <c r="O13" i="1"/>
  <c r="M15" i="1"/>
  <c r="I13" i="1"/>
  <c r="E13" i="1"/>
  <c r="M14" i="1"/>
  <c r="G14" i="1"/>
  <c r="C14" i="1"/>
  <c r="Q13" i="1"/>
  <c r="P13" i="1"/>
  <c r="L13" i="1"/>
  <c r="K13" i="1"/>
  <c r="J13" i="1"/>
  <c r="H13" i="1"/>
  <c r="F13" i="1"/>
  <c r="D13" i="1"/>
  <c r="M12" i="1"/>
  <c r="G12" i="1"/>
  <c r="C12" i="1"/>
  <c r="R12" i="1" s="1"/>
  <c r="M11" i="1"/>
  <c r="G11" i="1"/>
  <c r="C11" i="1"/>
  <c r="M10" i="1"/>
  <c r="G10" i="1"/>
  <c r="G9" i="1"/>
  <c r="C9" i="1"/>
  <c r="Q8" i="1"/>
  <c r="P8" i="1"/>
  <c r="N8" i="1"/>
  <c r="L8" i="1"/>
  <c r="K8" i="1"/>
  <c r="J8" i="1"/>
  <c r="I8" i="1"/>
  <c r="H8" i="1"/>
  <c r="F8" i="1"/>
  <c r="F7" i="1" s="1"/>
  <c r="M16" i="5"/>
  <c r="G16" i="5"/>
  <c r="C16" i="5"/>
  <c r="G15" i="5"/>
  <c r="E13" i="5"/>
  <c r="C15" i="5"/>
  <c r="M14" i="5"/>
  <c r="G14" i="5"/>
  <c r="C14" i="5"/>
  <c r="Q13" i="5"/>
  <c r="P13" i="5"/>
  <c r="O13" i="5"/>
  <c r="L13" i="5"/>
  <c r="K13" i="5"/>
  <c r="J13" i="5"/>
  <c r="I13" i="5"/>
  <c r="H13" i="5"/>
  <c r="G13" i="5"/>
  <c r="F13" i="5"/>
  <c r="F7" i="5" s="1"/>
  <c r="D13" i="5"/>
  <c r="M12" i="5"/>
  <c r="G12" i="5"/>
  <c r="M11" i="5"/>
  <c r="G11" i="5"/>
  <c r="C11" i="5"/>
  <c r="R11" i="5" s="1"/>
  <c r="M10" i="5"/>
  <c r="G10" i="5"/>
  <c r="C10" i="5"/>
  <c r="M9" i="5"/>
  <c r="G9" i="5"/>
  <c r="C9" i="5"/>
  <c r="Q8" i="5"/>
  <c r="O8" i="5"/>
  <c r="N8" i="5"/>
  <c r="L8" i="5"/>
  <c r="K8" i="5"/>
  <c r="J8" i="5"/>
  <c r="I8" i="5"/>
  <c r="H8" i="5"/>
  <c r="F8" i="5"/>
  <c r="J7" i="5"/>
  <c r="J7" i="1" l="1"/>
  <c r="L7" i="1"/>
  <c r="K7" i="1"/>
  <c r="R9" i="5"/>
  <c r="H7" i="1"/>
  <c r="I7" i="1"/>
  <c r="Q7" i="1"/>
  <c r="P7" i="1"/>
  <c r="G8" i="1"/>
  <c r="G7" i="1" s="1"/>
  <c r="R11" i="1"/>
  <c r="H7" i="5"/>
  <c r="L7" i="5"/>
  <c r="G8" i="5"/>
  <c r="G7" i="5" s="1"/>
  <c r="I7" i="5"/>
  <c r="K7" i="5"/>
  <c r="Q7" i="5"/>
  <c r="O7" i="5"/>
  <c r="R16" i="5"/>
  <c r="R14" i="5"/>
  <c r="C13" i="5"/>
  <c r="M13" i="1"/>
  <c r="D8" i="5"/>
  <c r="D7" i="5" s="1"/>
  <c r="M8" i="5"/>
  <c r="E8" i="5"/>
  <c r="E7" i="5" s="1"/>
  <c r="C12" i="5"/>
  <c r="R12" i="5" s="1"/>
  <c r="M15" i="5"/>
  <c r="R15" i="5" s="1"/>
  <c r="M9" i="1"/>
  <c r="R9" i="1" s="1"/>
  <c r="C10" i="1"/>
  <c r="C8" i="1" s="1"/>
  <c r="E8" i="1"/>
  <c r="E7" i="1" s="1"/>
  <c r="N13" i="1"/>
  <c r="N7" i="1" s="1"/>
  <c r="G15" i="1"/>
  <c r="G13" i="1" s="1"/>
  <c r="R16" i="1"/>
  <c r="R14" i="1"/>
  <c r="D8" i="1"/>
  <c r="D7" i="1" s="1"/>
  <c r="C15" i="1"/>
  <c r="C13" i="1" s="1"/>
  <c r="O8" i="1"/>
  <c r="O7" i="1" s="1"/>
  <c r="R10" i="5"/>
  <c r="P8" i="5"/>
  <c r="P7" i="5" s="1"/>
  <c r="N13" i="5"/>
  <c r="N7" i="5" s="1"/>
  <c r="M8" i="1" l="1"/>
  <c r="M7" i="1" s="1"/>
  <c r="C8" i="5"/>
  <c r="C7" i="5" s="1"/>
  <c r="M13" i="5"/>
  <c r="C7" i="1"/>
  <c r="R15" i="1"/>
  <c r="R13" i="1" s="1"/>
  <c r="R10" i="1"/>
  <c r="R8" i="1" s="1"/>
  <c r="M7" i="5"/>
  <c r="R8" i="5"/>
  <c r="R13" i="5"/>
  <c r="D9" i="2"/>
  <c r="D10" i="2"/>
  <c r="D11" i="2"/>
  <c r="E12" i="2"/>
  <c r="F12" i="2"/>
  <c r="R7" i="1" l="1"/>
  <c r="R7" i="5"/>
  <c r="D12" i="2"/>
  <c r="L9" i="2" l="1"/>
  <c r="G11" i="2" l="1"/>
  <c r="G10" i="2"/>
  <c r="K11" i="2" l="1"/>
  <c r="B12" i="2"/>
  <c r="M9" i="2"/>
  <c r="M10" i="2"/>
  <c r="L10" i="2"/>
  <c r="C10" i="2"/>
  <c r="C12" i="2" s="1"/>
  <c r="K10" i="2" l="1"/>
  <c r="M11" i="2"/>
  <c r="M12" i="2" s="1"/>
  <c r="L11" i="2"/>
  <c r="L12" i="2" s="1"/>
  <c r="G9" i="2"/>
  <c r="G12" i="2" s="1"/>
  <c r="K9" i="2" l="1"/>
</calcChain>
</file>

<file path=xl/sharedStrings.xml><?xml version="1.0" encoding="utf-8"?>
<sst xmlns="http://schemas.openxmlformats.org/spreadsheetml/2006/main" count="101" uniqueCount="51">
  <si>
    <t>в т.ч.</t>
  </si>
  <si>
    <t>Разом</t>
  </si>
  <si>
    <t>дрова</t>
  </si>
  <si>
    <t>Звіт</t>
  </si>
  <si>
    <t>Господарство</t>
  </si>
  <si>
    <t>Розрахункова, куб.м</t>
  </si>
  <si>
    <t>Площа, га</t>
  </si>
  <si>
    <t>Згідно лісорубних квитків</t>
  </si>
  <si>
    <t>Заготовлено</t>
  </si>
  <si>
    <t>Залишок по л/к</t>
  </si>
  <si>
    <t>Всього,м3</t>
  </si>
  <si>
    <t>ділова</t>
  </si>
  <si>
    <t>Всього по ЛГ</t>
  </si>
  <si>
    <t>хлисти</t>
  </si>
  <si>
    <t>Виконання сортиментної структури</t>
  </si>
  <si>
    <t>№ з/п</t>
  </si>
  <si>
    <t>Найменування сортиментів</t>
  </si>
  <si>
    <t>хвойні</t>
  </si>
  <si>
    <t>твердолистяні</t>
  </si>
  <si>
    <t>м'ягколистяні</t>
  </si>
  <si>
    <t>всього</t>
  </si>
  <si>
    <t>сосна</t>
  </si>
  <si>
    <t>ялина</t>
  </si>
  <si>
    <t>дуб</t>
  </si>
  <si>
    <t>граб</t>
  </si>
  <si>
    <t>ясен</t>
  </si>
  <si>
    <t>інші</t>
  </si>
  <si>
    <t>осика</t>
  </si>
  <si>
    <t>вільха</t>
  </si>
  <si>
    <t>береза</t>
  </si>
  <si>
    <t>Лісопродукція - всього</t>
  </si>
  <si>
    <t>деревина дровяна НП</t>
  </si>
  <si>
    <t>клен</t>
  </si>
  <si>
    <t>B</t>
  </si>
  <si>
    <t>C</t>
  </si>
  <si>
    <t>D</t>
  </si>
  <si>
    <t>Хлисти (на залишку)</t>
  </si>
  <si>
    <t>РГК</t>
  </si>
  <si>
    <t>лісоматеріали круглі, всього</t>
  </si>
  <si>
    <t>деревина дровяна, всього</t>
  </si>
  <si>
    <t xml:space="preserve"> в т.ч. деревина дровяна ПВ</t>
  </si>
  <si>
    <t>в т.ч. по класах якості А</t>
  </si>
  <si>
    <t>РПЗЛГ</t>
  </si>
  <si>
    <t>про використання лісосічного фонду по ДП "Рафалівський лісгосп"</t>
  </si>
  <si>
    <t>Хвойне</t>
  </si>
  <si>
    <t>Твердолистяне</t>
  </si>
  <si>
    <t>Мягколистяне</t>
  </si>
  <si>
    <t>по рубкам формування і оздоровлення лісів за січень 2021 року по ДП "Рафалівський лісгосп"</t>
  </si>
  <si>
    <t>лісосічного фонду за січень 2021 року по ДП "Рафалівський лісгосп"</t>
  </si>
  <si>
    <t>за січень 2021 року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</si>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</sst>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3" fillId="0" borderId="3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1" fontId="3" fillId="3" borderId="3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0" fillId="0" borderId="0" xfId="0" quotePrefix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="90" zoomScaleNormal="90" zoomScaleSheetLayoutView="85" workbookViewId="0">
      <selection activeCell="M8" sqref="M8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 t="s">
        <v>37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5" t="s">
        <v>21</v>
      </c>
      <c r="E6" s="15" t="s">
        <v>22</v>
      </c>
      <c r="F6" s="15" t="s">
        <v>26</v>
      </c>
      <c r="G6" s="46"/>
      <c r="H6" s="7" t="s">
        <v>23</v>
      </c>
      <c r="I6" s="7" t="s">
        <v>24</v>
      </c>
      <c r="J6" s="7" t="s">
        <v>25</v>
      </c>
      <c r="K6" s="7" t="s">
        <v>32</v>
      </c>
      <c r="L6" s="7" t="s">
        <v>26</v>
      </c>
      <c r="M6" s="46"/>
      <c r="N6" s="15" t="s">
        <v>27</v>
      </c>
      <c r="O6" s="15" t="s">
        <v>28</v>
      </c>
      <c r="P6" s="15" t="s">
        <v>29</v>
      </c>
      <c r="Q6" s="15" t="s">
        <v>26</v>
      </c>
      <c r="R6" s="46"/>
    </row>
    <row r="7" spans="1:19" ht="18.75" x14ac:dyDescent="0.3">
      <c r="A7" s="31">
        <v>1</v>
      </c>
      <c r="B7" s="32" t="s">
        <v>30</v>
      </c>
      <c r="C7" s="33">
        <f>C8+C13+C16</f>
        <v>2014.5283999999999</v>
      </c>
      <c r="D7" s="33">
        <f t="shared" ref="D7:Q7" si="0">D8+D13+D16</f>
        <v>1967.51</v>
      </c>
      <c r="E7" s="33">
        <f t="shared" si="0"/>
        <v>47.018400000000007</v>
      </c>
      <c r="F7" s="33">
        <f t="shared" si="0"/>
        <v>0</v>
      </c>
      <c r="G7" s="33">
        <f t="shared" si="0"/>
        <v>232.29000000000002</v>
      </c>
      <c r="H7" s="33">
        <f t="shared" si="0"/>
        <v>16.463000000000001</v>
      </c>
      <c r="I7" s="33">
        <f t="shared" si="0"/>
        <v>213.81399999999999</v>
      </c>
      <c r="J7" s="33">
        <f t="shared" si="0"/>
        <v>0</v>
      </c>
      <c r="K7" s="33">
        <f t="shared" si="0"/>
        <v>2.0129999999999999</v>
      </c>
      <c r="L7" s="33">
        <f t="shared" si="0"/>
        <v>0</v>
      </c>
      <c r="M7" s="33">
        <f t="shared" si="0"/>
        <v>681.89</v>
      </c>
      <c r="N7" s="33">
        <f t="shared" si="0"/>
        <v>9.57</v>
      </c>
      <c r="O7" s="33">
        <f t="shared" si="0"/>
        <v>518.86099999999999</v>
      </c>
      <c r="P7" s="33">
        <f t="shared" si="0"/>
        <v>153.459</v>
      </c>
      <c r="Q7" s="33">
        <f t="shared" si="0"/>
        <v>0</v>
      </c>
      <c r="R7" s="33">
        <f>R8+R13+R16</f>
        <v>2928.7084</v>
      </c>
      <c r="S7" s="2"/>
    </row>
    <row r="8" spans="1:19" ht="18.75" x14ac:dyDescent="0.3">
      <c r="A8" s="31">
        <v>2</v>
      </c>
      <c r="B8" s="34" t="s">
        <v>38</v>
      </c>
      <c r="C8" s="33">
        <f>C9+C10+C11+C12</f>
        <v>1929.3283999999999</v>
      </c>
      <c r="D8" s="33">
        <f>D9+D10+D11+D12</f>
        <v>1886.0619999999999</v>
      </c>
      <c r="E8" s="33">
        <f t="shared" ref="E8:R8" si="1">E9+E10+E11+E12</f>
        <v>43.266400000000004</v>
      </c>
      <c r="F8" s="33">
        <f t="shared" si="1"/>
        <v>0</v>
      </c>
      <c r="G8" s="33">
        <f t="shared" si="1"/>
        <v>169.99700000000001</v>
      </c>
      <c r="H8" s="33">
        <f t="shared" si="1"/>
        <v>14.925000000000001</v>
      </c>
      <c r="I8" s="33">
        <f t="shared" si="1"/>
        <v>155.072</v>
      </c>
      <c r="J8" s="33">
        <f t="shared" si="1"/>
        <v>0</v>
      </c>
      <c r="K8" s="33">
        <f t="shared" si="1"/>
        <v>0</v>
      </c>
      <c r="L8" s="33">
        <f t="shared" si="1"/>
        <v>0</v>
      </c>
      <c r="M8" s="33">
        <f t="shared" si="1"/>
        <v>510.63099999999997</v>
      </c>
      <c r="N8" s="33">
        <f t="shared" si="1"/>
        <v>5.47</v>
      </c>
      <c r="O8" s="33">
        <f t="shared" si="1"/>
        <v>405.23699999999997</v>
      </c>
      <c r="P8" s="33">
        <f t="shared" si="1"/>
        <v>99.924000000000007</v>
      </c>
      <c r="Q8" s="33">
        <f t="shared" si="1"/>
        <v>0</v>
      </c>
      <c r="R8" s="33">
        <f t="shared" si="1"/>
        <v>2609.9564</v>
      </c>
    </row>
    <row r="9" spans="1:19" ht="18.75" x14ac:dyDescent="0.3">
      <c r="A9" s="7"/>
      <c r="B9" s="9" t="s">
        <v>41</v>
      </c>
      <c r="C9" s="33">
        <f t="shared" ref="C9:C16" si="2">D9+E9+F9</f>
        <v>244.31900000000002</v>
      </c>
      <c r="D9" s="30">
        <f>151.359+111.96-19</f>
        <v>244.31900000000002</v>
      </c>
      <c r="E9" s="30"/>
      <c r="F9" s="30"/>
      <c r="G9" s="33">
        <f t="shared" ref="G9:G16" si="3">H9+I9+J9+K9+L9</f>
        <v>0</v>
      </c>
      <c r="H9" s="30"/>
      <c r="I9" s="30"/>
      <c r="J9" s="30"/>
      <c r="K9" s="30"/>
      <c r="L9" s="30"/>
      <c r="M9" s="33">
        <f t="shared" ref="M9:M16" si="4">N9+O9+P9+Q9</f>
        <v>206.14</v>
      </c>
      <c r="N9" s="30"/>
      <c r="O9" s="30">
        <f>31.534+189.118-37</f>
        <v>183.65199999999999</v>
      </c>
      <c r="P9" s="30">
        <f>5.73+21.758-5</f>
        <v>22.488</v>
      </c>
      <c r="Q9" s="30"/>
      <c r="R9" s="33">
        <f>C9+G9+M9</f>
        <v>450.459</v>
      </c>
    </row>
    <row r="10" spans="1:19" ht="18.75" x14ac:dyDescent="0.3">
      <c r="A10" s="7"/>
      <c r="B10" s="9" t="s">
        <v>33</v>
      </c>
      <c r="C10" s="33">
        <f t="shared" si="2"/>
        <v>439.08199999999999</v>
      </c>
      <c r="D10" s="30">
        <f>188.043+251.039</f>
        <v>439.08199999999999</v>
      </c>
      <c r="E10" s="30"/>
      <c r="F10" s="30"/>
      <c r="G10" s="33">
        <f t="shared" si="3"/>
        <v>0</v>
      </c>
      <c r="H10" s="30"/>
      <c r="I10" s="30"/>
      <c r="J10" s="30"/>
      <c r="K10" s="30"/>
      <c r="L10" s="30"/>
      <c r="M10" s="33">
        <f t="shared" si="4"/>
        <v>179.69499999999999</v>
      </c>
      <c r="N10" s="30"/>
      <c r="O10" s="30">
        <f>57.65+159.588-70</f>
        <v>147.238</v>
      </c>
      <c r="P10" s="30">
        <f>32.457</f>
        <v>32.457000000000001</v>
      </c>
      <c r="Q10" s="30"/>
      <c r="R10" s="33">
        <f>C10+G10+M10</f>
        <v>618.77700000000004</v>
      </c>
    </row>
    <row r="11" spans="1:19" ht="18.75" x14ac:dyDescent="0.3">
      <c r="A11" s="7"/>
      <c r="B11" s="9" t="s">
        <v>34</v>
      </c>
      <c r="C11" s="33">
        <f t="shared" si="2"/>
        <v>968.31</v>
      </c>
      <c r="D11" s="30">
        <f>327.631+140.33+402.294+73.761</f>
        <v>944.01599999999996</v>
      </c>
      <c r="E11" s="30">
        <f>6.68+21.614-4</f>
        <v>24.294</v>
      </c>
      <c r="F11" s="30"/>
      <c r="G11" s="33">
        <f t="shared" si="3"/>
        <v>169.99700000000001</v>
      </c>
      <c r="H11" s="30">
        <f>14.925</f>
        <v>14.925000000000001</v>
      </c>
      <c r="I11" s="30">
        <f>155.072</f>
        <v>155.072</v>
      </c>
      <c r="J11" s="30"/>
      <c r="K11" s="30"/>
      <c r="L11" s="30"/>
      <c r="M11" s="33">
        <f t="shared" si="4"/>
        <v>124.79600000000001</v>
      </c>
      <c r="N11" s="30">
        <f>5.47</f>
        <v>5.47</v>
      </c>
      <c r="O11" s="30">
        <f>60.209+44.138-30</f>
        <v>74.347000000000008</v>
      </c>
      <c r="P11" s="30">
        <f>35.419+9.56</f>
        <v>44.978999999999999</v>
      </c>
      <c r="Q11" s="30"/>
      <c r="R11" s="33">
        <f>C11+G11+M11</f>
        <v>1263.1030000000001</v>
      </c>
    </row>
    <row r="12" spans="1:19" ht="18.75" x14ac:dyDescent="0.3">
      <c r="A12" s="7"/>
      <c r="B12" s="9" t="s">
        <v>35</v>
      </c>
      <c r="C12" s="33">
        <f t="shared" si="2"/>
        <v>277.61739999999998</v>
      </c>
      <c r="D12" s="30">
        <f>109.598+148.116+0.931</f>
        <v>258.64499999999998</v>
      </c>
      <c r="E12" s="30">
        <f>1.0124+17.96</f>
        <v>18.9724</v>
      </c>
      <c r="F12" s="30"/>
      <c r="G12" s="33">
        <f t="shared" si="3"/>
        <v>0</v>
      </c>
      <c r="H12" s="30"/>
      <c r="I12" s="30"/>
      <c r="J12" s="30"/>
      <c r="K12" s="30"/>
      <c r="L12" s="30"/>
      <c r="M12" s="33">
        <f t="shared" si="4"/>
        <v>0</v>
      </c>
      <c r="N12" s="30"/>
      <c r="O12" s="30"/>
      <c r="P12" s="30"/>
      <c r="Q12" s="30"/>
      <c r="R12" s="33">
        <f>C12+G12+M12</f>
        <v>277.61739999999998</v>
      </c>
    </row>
    <row r="13" spans="1:19" ht="18.75" x14ac:dyDescent="0.3">
      <c r="A13" s="31">
        <v>3</v>
      </c>
      <c r="B13" s="34" t="s">
        <v>39</v>
      </c>
      <c r="C13" s="33">
        <f>C14+C15</f>
        <v>41.2</v>
      </c>
      <c r="D13" s="33">
        <f t="shared" ref="D13:R13" si="5">D14+D15</f>
        <v>37.448</v>
      </c>
      <c r="E13" s="33">
        <f t="shared" si="5"/>
        <v>3.7519999999999998</v>
      </c>
      <c r="F13" s="33">
        <f t="shared" si="5"/>
        <v>0</v>
      </c>
      <c r="G13" s="33">
        <f t="shared" si="5"/>
        <v>62.292999999999992</v>
      </c>
      <c r="H13" s="33">
        <f t="shared" si="5"/>
        <v>1.538</v>
      </c>
      <c r="I13" s="33">
        <f t="shared" si="5"/>
        <v>58.741999999999997</v>
      </c>
      <c r="J13" s="33">
        <f t="shared" si="5"/>
        <v>0</v>
      </c>
      <c r="K13" s="33">
        <f t="shared" si="5"/>
        <v>2.0129999999999999</v>
      </c>
      <c r="L13" s="33">
        <f t="shared" si="5"/>
        <v>0</v>
      </c>
      <c r="M13" s="33">
        <f t="shared" si="5"/>
        <v>140.25899999999999</v>
      </c>
      <c r="N13" s="33">
        <f t="shared" si="5"/>
        <v>4.0999999999999996</v>
      </c>
      <c r="O13" s="33">
        <f t="shared" si="5"/>
        <v>83.623999999999995</v>
      </c>
      <c r="P13" s="33">
        <f t="shared" si="5"/>
        <v>52.535000000000004</v>
      </c>
      <c r="Q13" s="33">
        <f t="shared" si="5"/>
        <v>0</v>
      </c>
      <c r="R13" s="33">
        <f t="shared" si="5"/>
        <v>243.75199999999998</v>
      </c>
    </row>
    <row r="14" spans="1:19" ht="18.75" x14ac:dyDescent="0.3">
      <c r="A14" s="7"/>
      <c r="B14" s="9" t="s">
        <v>40</v>
      </c>
      <c r="C14" s="33">
        <f>D14+E14+F14</f>
        <v>0</v>
      </c>
      <c r="D14" s="30"/>
      <c r="E14" s="30"/>
      <c r="F14" s="30"/>
      <c r="G14" s="33">
        <f>H14+I14+J14+K14+L14</f>
        <v>0</v>
      </c>
      <c r="H14" s="30"/>
      <c r="I14" s="30"/>
      <c r="J14" s="30"/>
      <c r="K14" s="30"/>
      <c r="L14" s="30"/>
      <c r="M14" s="33">
        <f>N14+O14+P14+Q14</f>
        <v>0</v>
      </c>
      <c r="N14" s="30"/>
      <c r="O14" s="30"/>
      <c r="P14" s="30"/>
      <c r="Q14" s="30"/>
      <c r="R14" s="33">
        <f>C14+G14+M14</f>
        <v>0</v>
      </c>
    </row>
    <row r="15" spans="1:19" ht="18.75" x14ac:dyDescent="0.3">
      <c r="A15" s="7"/>
      <c r="B15" s="9" t="s">
        <v>31</v>
      </c>
      <c r="C15" s="33">
        <f>D15+E15+F15</f>
        <v>41.2</v>
      </c>
      <c r="D15" s="30">
        <f>33.904+3.544</f>
        <v>37.448</v>
      </c>
      <c r="E15" s="30">
        <f>3.752</f>
        <v>3.7519999999999998</v>
      </c>
      <c r="F15" s="30"/>
      <c r="G15" s="33">
        <f>H15+I15+J15+K15+L15</f>
        <v>62.292999999999992</v>
      </c>
      <c r="H15" s="30">
        <f>1.538</f>
        <v>1.538</v>
      </c>
      <c r="I15" s="30">
        <f>58.742</f>
        <v>58.741999999999997</v>
      </c>
      <c r="J15" s="30"/>
      <c r="K15" s="30">
        <f>2.013</f>
        <v>2.0129999999999999</v>
      </c>
      <c r="L15" s="30"/>
      <c r="M15" s="33">
        <f>N15+O15+P15+Q15</f>
        <v>140.25899999999999</v>
      </c>
      <c r="N15" s="30">
        <f>4.1</f>
        <v>4.0999999999999996</v>
      </c>
      <c r="O15" s="30">
        <f>48.268+35.356</f>
        <v>83.623999999999995</v>
      </c>
      <c r="P15" s="30">
        <f>38.072+14.463</f>
        <v>52.535000000000004</v>
      </c>
      <c r="Q15" s="30"/>
      <c r="R15" s="33">
        <f>C15+G15+M15</f>
        <v>243.75199999999998</v>
      </c>
    </row>
    <row r="16" spans="1:19" ht="18.75" x14ac:dyDescent="0.3">
      <c r="A16" s="7">
        <v>4</v>
      </c>
      <c r="B16" s="8" t="s">
        <v>36</v>
      </c>
      <c r="C16" s="33">
        <f t="shared" si="2"/>
        <v>44</v>
      </c>
      <c r="D16" s="30">
        <v>44</v>
      </c>
      <c r="E16" s="30"/>
      <c r="F16" s="30"/>
      <c r="G16" s="33">
        <f t="shared" si="3"/>
        <v>0</v>
      </c>
      <c r="H16" s="30"/>
      <c r="I16" s="30"/>
      <c r="J16" s="30"/>
      <c r="K16" s="30"/>
      <c r="L16" s="30"/>
      <c r="M16" s="33">
        <f t="shared" si="4"/>
        <v>31</v>
      </c>
      <c r="N16" s="30"/>
      <c r="O16" s="30">
        <v>30</v>
      </c>
      <c r="P16" s="30">
        <v>1</v>
      </c>
      <c r="Q16" s="30"/>
      <c r="R16" s="33">
        <f>C16+G16+M16</f>
        <v>75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35" t="s">
        <v>50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A4:A6"/>
    <mergeCell ref="B4:B6"/>
    <mergeCell ref="G4:L4"/>
    <mergeCell ref="R4:R6"/>
    <mergeCell ref="C5:C6"/>
    <mergeCell ref="G5:G6"/>
    <mergeCell ref="H5:L5"/>
    <mergeCell ref="M5:M6"/>
    <mergeCell ref="C4:F4"/>
    <mergeCell ref="D5:F5"/>
    <mergeCell ref="M4:Q4"/>
    <mergeCell ref="N5:Q5"/>
    <mergeCell ref="P3:R3"/>
  </mergeCells>
  <phoneticPr fontId="0" type="noConversion"/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M12"/>
  <sheetViews>
    <sheetView tabSelected="1" zoomScaleNormal="100" zoomScaleSheetLayoutView="100" workbookViewId="0">
      <selection activeCell="J16" sqref="J16"/>
    </sheetView>
  </sheetViews>
  <sheetFormatPr defaultRowHeight="15" x14ac:dyDescent="0.25"/>
  <cols>
    <col min="1" max="1" width="27.28515625" customWidth="1"/>
    <col min="2" max="2" width="13.85546875" customWidth="1"/>
    <col min="3" max="3" width="18.5703125" customWidth="1"/>
    <col min="4" max="5" width="13" customWidth="1"/>
    <col min="6" max="6" width="12.85546875" customWidth="1"/>
    <col min="7" max="7" width="11.5703125" customWidth="1"/>
    <col min="11" max="11" width="10" customWidth="1"/>
  </cols>
  <sheetData>
    <row r="1" spans="1:13" x14ac:dyDescent="0.25">
      <c r="D1" s="3"/>
      <c r="G1" s="3"/>
      <c r="J1" s="3"/>
    </row>
    <row r="2" spans="1:13" x14ac:dyDescent="0.25">
      <c r="D2" s="3"/>
      <c r="G2" s="3"/>
      <c r="J2" s="3"/>
    </row>
    <row r="3" spans="1:13" x14ac:dyDescent="0.25">
      <c r="A3" s="55" t="s">
        <v>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x14ac:dyDescent="0.25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ht="15.75" thickBot="1" x14ac:dyDescent="0.3">
      <c r="A5" s="56" t="s">
        <v>49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ht="15.75" thickBot="1" x14ac:dyDescent="0.3">
      <c r="A6" s="57" t="s">
        <v>4</v>
      </c>
      <c r="B6" s="59" t="s">
        <v>5</v>
      </c>
      <c r="C6" s="59" t="s">
        <v>6</v>
      </c>
      <c r="D6" s="52" t="s">
        <v>7</v>
      </c>
      <c r="E6" s="54"/>
      <c r="F6" s="53"/>
      <c r="G6" s="61" t="s">
        <v>8</v>
      </c>
      <c r="H6" s="62"/>
      <c r="I6" s="62"/>
      <c r="J6" s="63"/>
      <c r="K6" s="52" t="s">
        <v>9</v>
      </c>
      <c r="L6" s="54"/>
      <c r="M6" s="53"/>
    </row>
    <row r="7" spans="1:13" ht="15.75" customHeight="1" thickBot="1" x14ac:dyDescent="0.3">
      <c r="A7" s="58"/>
      <c r="B7" s="60"/>
      <c r="C7" s="60"/>
      <c r="D7" s="59" t="s">
        <v>10</v>
      </c>
      <c r="E7" s="52" t="s">
        <v>0</v>
      </c>
      <c r="F7" s="53"/>
      <c r="G7" s="59" t="s">
        <v>10</v>
      </c>
      <c r="H7" s="52" t="s">
        <v>0</v>
      </c>
      <c r="I7" s="54"/>
      <c r="J7" s="53"/>
      <c r="K7" s="59" t="s">
        <v>10</v>
      </c>
      <c r="L7" s="52" t="s">
        <v>0</v>
      </c>
      <c r="M7" s="53"/>
    </row>
    <row r="8" spans="1:13" ht="15.75" thickBot="1" x14ac:dyDescent="0.3">
      <c r="A8" s="58"/>
      <c r="B8" s="60"/>
      <c r="C8" s="60"/>
      <c r="D8" s="60"/>
      <c r="E8" s="12" t="s">
        <v>11</v>
      </c>
      <c r="F8" s="12" t="s">
        <v>2</v>
      </c>
      <c r="G8" s="60"/>
      <c r="H8" s="12" t="s">
        <v>11</v>
      </c>
      <c r="I8" s="12" t="s">
        <v>2</v>
      </c>
      <c r="J8" s="10" t="s">
        <v>13</v>
      </c>
      <c r="K8" s="60"/>
      <c r="L8" s="12" t="s">
        <v>11</v>
      </c>
      <c r="M8" s="12" t="s">
        <v>2</v>
      </c>
    </row>
    <row r="9" spans="1:13" ht="20.100000000000001" customHeight="1" thickBot="1" x14ac:dyDescent="0.3">
      <c r="A9" s="25" t="s">
        <v>44</v>
      </c>
      <c r="B9" s="18">
        <v>59500</v>
      </c>
      <c r="C9" s="18">
        <v>95.9</v>
      </c>
      <c r="D9" s="18">
        <f>E9+F9</f>
        <v>6722</v>
      </c>
      <c r="E9" s="18">
        <f>232+304+182+678+219+309+325+226+207+52+158+382+289</f>
        <v>3563</v>
      </c>
      <c r="F9" s="18">
        <f>128+326+21+454+25+363+20+125+7+212+12+244+18+246+18+171+15+35+2+173+9+219+16+272+28</f>
        <v>3159</v>
      </c>
      <c r="G9" s="17">
        <f>H9+I9+J9</f>
        <v>2014</v>
      </c>
      <c r="H9" s="17">
        <v>1929</v>
      </c>
      <c r="I9" s="17">
        <v>41</v>
      </c>
      <c r="J9" s="18">
        <v>44</v>
      </c>
      <c r="K9" s="18">
        <f>D9-G9</f>
        <v>4708</v>
      </c>
      <c r="L9" s="17">
        <f>E9-H9</f>
        <v>1634</v>
      </c>
      <c r="M9" s="19">
        <f>F9-I9</f>
        <v>3118</v>
      </c>
    </row>
    <row r="10" spans="1:13" ht="20.100000000000001" customHeight="1" thickBot="1" x14ac:dyDescent="0.3">
      <c r="A10" s="20" t="s">
        <v>45</v>
      </c>
      <c r="B10" s="14">
        <v>1940</v>
      </c>
      <c r="C10" s="14">
        <f>0.8+3</f>
        <v>3.8</v>
      </c>
      <c r="D10" s="14">
        <f>E10+F10</f>
        <v>0</v>
      </c>
      <c r="E10" s="14">
        <v>0</v>
      </c>
      <c r="F10" s="14">
        <v>0</v>
      </c>
      <c r="G10" s="13">
        <f>H10+I10+J10</f>
        <v>232</v>
      </c>
      <c r="H10" s="13">
        <v>0</v>
      </c>
      <c r="I10" s="13">
        <v>170</v>
      </c>
      <c r="J10" s="13">
        <v>62</v>
      </c>
      <c r="K10" s="18">
        <f t="shared" ref="K10:K11" si="0">D10-G10</f>
        <v>-232</v>
      </c>
      <c r="L10" s="13">
        <f>E10-H10</f>
        <v>0</v>
      </c>
      <c r="M10" s="21">
        <f>F10-I10</f>
        <v>-170</v>
      </c>
    </row>
    <row r="11" spans="1:13" ht="20.100000000000001" customHeight="1" thickBot="1" x14ac:dyDescent="0.3">
      <c r="A11" s="26" t="s">
        <v>46</v>
      </c>
      <c r="B11" s="23">
        <v>30540</v>
      </c>
      <c r="C11" s="23">
        <v>57</v>
      </c>
      <c r="D11" s="14">
        <f>E11+F11</f>
        <v>5772</v>
      </c>
      <c r="E11" s="23">
        <f>163+199+337+84+118+92+111+110+152+439+66</f>
        <v>1871</v>
      </c>
      <c r="F11" s="23">
        <f>309+18+330+26+316+29+99+9+481+31+456+24+308+27+358+19+384+23+442+54+149+9</f>
        <v>3901</v>
      </c>
      <c r="G11" s="22">
        <f>H11+I11+J11</f>
        <v>682</v>
      </c>
      <c r="H11" s="22">
        <v>511</v>
      </c>
      <c r="I11" s="22">
        <v>140</v>
      </c>
      <c r="J11" s="23">
        <v>31</v>
      </c>
      <c r="K11" s="18">
        <f t="shared" si="0"/>
        <v>5090</v>
      </c>
      <c r="L11" s="22">
        <f>E11-H11</f>
        <v>1360</v>
      </c>
      <c r="M11" s="24">
        <f>E11-H11</f>
        <v>1360</v>
      </c>
    </row>
    <row r="12" spans="1:13" ht="20.100000000000001" customHeight="1" thickBot="1" x14ac:dyDescent="0.3">
      <c r="A12" s="5" t="s">
        <v>12</v>
      </c>
      <c r="B12" s="4">
        <f t="shared" ref="B12:C12" si="1">SUM(B9:B11)</f>
        <v>91980</v>
      </c>
      <c r="C12" s="6">
        <f t="shared" si="1"/>
        <v>156.69999999999999</v>
      </c>
      <c r="D12" s="4">
        <f>SUM(D9:D11)</f>
        <v>12494</v>
      </c>
      <c r="E12" s="4">
        <f>SUM(E9:E11)</f>
        <v>5434</v>
      </c>
      <c r="F12" s="11">
        <f>SUM(F9:F11)</f>
        <v>7060</v>
      </c>
      <c r="G12" s="16">
        <f>SUM(G9:G11)</f>
        <v>2928</v>
      </c>
      <c r="H12" s="16">
        <f>SUM(H9:H11)</f>
        <v>2440</v>
      </c>
      <c r="I12" s="16">
        <f t="shared" ref="I12:J12" si="2">SUM(I9:I11)</f>
        <v>351</v>
      </c>
      <c r="J12" s="16">
        <f t="shared" si="2"/>
        <v>137</v>
      </c>
      <c r="K12" s="16">
        <f>SUM(K9:K11)</f>
        <v>9566</v>
      </c>
      <c r="L12" s="16">
        <f>SUM(L9:L11)</f>
        <v>2994</v>
      </c>
      <c r="M12" s="16">
        <f>SUM(M9:M11)</f>
        <v>4308</v>
      </c>
    </row>
  </sheetData>
  <mergeCells count="15">
    <mergeCell ref="L7:M7"/>
    <mergeCell ref="K6:M6"/>
    <mergeCell ref="A3:L3"/>
    <mergeCell ref="A4:L4"/>
    <mergeCell ref="A5:L5"/>
    <mergeCell ref="A6:A8"/>
    <mergeCell ref="B6:B8"/>
    <mergeCell ref="C6:C8"/>
    <mergeCell ref="D6:F6"/>
    <mergeCell ref="D7:D8"/>
    <mergeCell ref="E7:F7"/>
    <mergeCell ref="G7:G8"/>
    <mergeCell ref="G6:J6"/>
    <mergeCell ref="H7:J7"/>
    <mergeCell ref="K7:K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Normal="100" zoomScaleSheetLayoutView="85" workbookViewId="0">
      <selection activeCell="D11" sqref="D11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 t="s">
        <v>42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5" t="s">
        <v>21</v>
      </c>
      <c r="E6" s="15" t="s">
        <v>22</v>
      </c>
      <c r="F6" s="15" t="s">
        <v>26</v>
      </c>
      <c r="G6" s="46"/>
      <c r="H6" s="7" t="s">
        <v>23</v>
      </c>
      <c r="I6" s="7" t="s">
        <v>24</v>
      </c>
      <c r="J6" s="7" t="s">
        <v>25</v>
      </c>
      <c r="K6" s="7" t="s">
        <v>32</v>
      </c>
      <c r="L6" s="7" t="s">
        <v>26</v>
      </c>
      <c r="M6" s="46"/>
      <c r="N6" s="15" t="s">
        <v>27</v>
      </c>
      <c r="O6" s="15" t="s">
        <v>28</v>
      </c>
      <c r="P6" s="15" t="s">
        <v>29</v>
      </c>
      <c r="Q6" s="15" t="s">
        <v>26</v>
      </c>
      <c r="R6" s="46"/>
    </row>
    <row r="7" spans="1:19" ht="18.75" x14ac:dyDescent="0.3">
      <c r="A7" s="31">
        <v>1</v>
      </c>
      <c r="B7" s="32" t="s">
        <v>30</v>
      </c>
      <c r="C7" s="33">
        <f>C8+C13+C16</f>
        <v>499.15699999999998</v>
      </c>
      <c r="D7" s="33">
        <f t="shared" ref="D7:Q7" si="0">D8+D13+D16</f>
        <v>499.15699999999998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6.0030000000000001</v>
      </c>
      <c r="N7" s="33">
        <f t="shared" si="0"/>
        <v>0</v>
      </c>
      <c r="O7" s="33">
        <f t="shared" si="0"/>
        <v>0</v>
      </c>
      <c r="P7" s="33">
        <f t="shared" si="0"/>
        <v>6.0030000000000001</v>
      </c>
      <c r="Q7" s="33">
        <f t="shared" si="0"/>
        <v>0</v>
      </c>
      <c r="R7" s="33">
        <f>R8+R13+R16</f>
        <v>505.15999999999997</v>
      </c>
      <c r="S7" s="2"/>
    </row>
    <row r="8" spans="1:19" ht="18.75" x14ac:dyDescent="0.3">
      <c r="A8" s="31">
        <v>2</v>
      </c>
      <c r="B8" s="34" t="s">
        <v>38</v>
      </c>
      <c r="C8" s="33">
        <f>C9+C10+C11+C12</f>
        <v>353.858</v>
      </c>
      <c r="D8" s="33">
        <f t="shared" ref="D8:R8" si="1">D9+D10+D11+D12</f>
        <v>353.858</v>
      </c>
      <c r="E8" s="33">
        <f t="shared" si="1"/>
        <v>0</v>
      </c>
      <c r="F8" s="33">
        <f t="shared" si="1"/>
        <v>0</v>
      </c>
      <c r="G8" s="33">
        <f t="shared" si="1"/>
        <v>0</v>
      </c>
      <c r="H8" s="33">
        <f t="shared" si="1"/>
        <v>0</v>
      </c>
      <c r="I8" s="33">
        <f t="shared" si="1"/>
        <v>0</v>
      </c>
      <c r="J8" s="33">
        <f t="shared" si="1"/>
        <v>0</v>
      </c>
      <c r="K8" s="33">
        <f t="shared" si="1"/>
        <v>0</v>
      </c>
      <c r="L8" s="33">
        <f t="shared" si="1"/>
        <v>0</v>
      </c>
      <c r="M8" s="33">
        <f t="shared" si="1"/>
        <v>3.0019999999999998</v>
      </c>
      <c r="N8" s="33">
        <f t="shared" si="1"/>
        <v>0</v>
      </c>
      <c r="O8" s="33">
        <f t="shared" si="1"/>
        <v>0</v>
      </c>
      <c r="P8" s="33">
        <f t="shared" si="1"/>
        <v>3.0019999999999998</v>
      </c>
      <c r="Q8" s="33">
        <f t="shared" si="1"/>
        <v>0</v>
      </c>
      <c r="R8" s="33">
        <f t="shared" si="1"/>
        <v>356.86</v>
      </c>
    </row>
    <row r="9" spans="1:19" ht="18.75" x14ac:dyDescent="0.3">
      <c r="A9" s="7"/>
      <c r="B9" s="9" t="s">
        <v>41</v>
      </c>
      <c r="C9" s="33">
        <f t="shared" ref="C9:C16" si="2">D9+E9+F9</f>
        <v>13.794999999999998</v>
      </c>
      <c r="D9" s="30">
        <f>7.999+10.796-5</f>
        <v>13.794999999999998</v>
      </c>
      <c r="E9" s="30"/>
      <c r="F9" s="30"/>
      <c r="G9" s="33">
        <f t="shared" ref="G9:G16" si="3">H9+I9+J9+K9+L9</f>
        <v>0</v>
      </c>
      <c r="H9" s="30"/>
      <c r="I9" s="30"/>
      <c r="J9" s="30"/>
      <c r="K9" s="30"/>
      <c r="L9" s="30"/>
      <c r="M9" s="33">
        <f t="shared" ref="M9:M16" si="4">N9+O9+P9+Q9</f>
        <v>1.974</v>
      </c>
      <c r="N9" s="30"/>
      <c r="O9" s="30"/>
      <c r="P9" s="30">
        <f>1.974</f>
        <v>1.974</v>
      </c>
      <c r="Q9" s="30"/>
      <c r="R9" s="33">
        <f>C9+G9+M9</f>
        <v>15.768999999999998</v>
      </c>
    </row>
    <row r="10" spans="1:19" ht="18.75" x14ac:dyDescent="0.3">
      <c r="A10" s="7"/>
      <c r="B10" s="9" t="s">
        <v>33</v>
      </c>
      <c r="C10" s="33">
        <f t="shared" si="2"/>
        <v>22.648</v>
      </c>
      <c r="D10" s="30">
        <f>11.522+11.126</f>
        <v>22.648</v>
      </c>
      <c r="E10" s="30"/>
      <c r="F10" s="30"/>
      <c r="G10" s="33">
        <f t="shared" si="3"/>
        <v>0</v>
      </c>
      <c r="H10" s="30"/>
      <c r="I10" s="30"/>
      <c r="J10" s="30"/>
      <c r="K10" s="30"/>
      <c r="L10" s="30"/>
      <c r="M10" s="33">
        <f t="shared" si="4"/>
        <v>1.028</v>
      </c>
      <c r="N10" s="30"/>
      <c r="O10" s="30"/>
      <c r="P10" s="30">
        <f>1.028</f>
        <v>1.028</v>
      </c>
      <c r="Q10" s="30"/>
      <c r="R10" s="33">
        <f>C10+G10+M10</f>
        <v>23.675999999999998</v>
      </c>
    </row>
    <row r="11" spans="1:19" ht="18.75" x14ac:dyDescent="0.3">
      <c r="A11" s="7"/>
      <c r="B11" s="9" t="s">
        <v>34</v>
      </c>
      <c r="C11" s="33">
        <f t="shared" si="2"/>
        <v>97.908000000000001</v>
      </c>
      <c r="D11" s="30">
        <f>51.937+44.92+8.051-7</f>
        <v>97.908000000000001</v>
      </c>
      <c r="E11" s="30"/>
      <c r="F11" s="30"/>
      <c r="G11" s="33">
        <f t="shared" si="3"/>
        <v>0</v>
      </c>
      <c r="H11" s="30"/>
      <c r="I11" s="30"/>
      <c r="J11" s="30"/>
      <c r="K11" s="30"/>
      <c r="L11" s="30"/>
      <c r="M11" s="33">
        <f t="shared" si="4"/>
        <v>0</v>
      </c>
      <c r="N11" s="30"/>
      <c r="O11" s="30"/>
      <c r="P11" s="30"/>
      <c r="Q11" s="30"/>
      <c r="R11" s="33">
        <f>C11+G11+M11</f>
        <v>97.908000000000001</v>
      </c>
    </row>
    <row r="12" spans="1:19" ht="18.75" x14ac:dyDescent="0.3">
      <c r="A12" s="7"/>
      <c r="B12" s="9" t="s">
        <v>35</v>
      </c>
      <c r="C12" s="33">
        <f t="shared" si="2"/>
        <v>219.50700000000001</v>
      </c>
      <c r="D12" s="30">
        <f>8.168+109.486+27.341+10.108+64.404</f>
        <v>219.50700000000001</v>
      </c>
      <c r="E12" s="30"/>
      <c r="F12" s="30"/>
      <c r="G12" s="33">
        <f t="shared" si="3"/>
        <v>0</v>
      </c>
      <c r="H12" s="30"/>
      <c r="I12" s="30"/>
      <c r="J12" s="30"/>
      <c r="K12" s="30"/>
      <c r="L12" s="30"/>
      <c r="M12" s="33">
        <f t="shared" si="4"/>
        <v>0</v>
      </c>
      <c r="N12" s="30"/>
      <c r="O12" s="30"/>
      <c r="P12" s="30"/>
      <c r="Q12" s="30"/>
      <c r="R12" s="33">
        <f>C12+G12+M12</f>
        <v>219.50700000000001</v>
      </c>
    </row>
    <row r="13" spans="1:19" ht="18.75" x14ac:dyDescent="0.3">
      <c r="A13" s="31">
        <v>3</v>
      </c>
      <c r="B13" s="34" t="s">
        <v>39</v>
      </c>
      <c r="C13" s="33">
        <f>C14+C15</f>
        <v>145.29899999999998</v>
      </c>
      <c r="D13" s="33">
        <f t="shared" ref="D13:R13" si="5">D14+D15</f>
        <v>145.29899999999998</v>
      </c>
      <c r="E13" s="33">
        <f t="shared" si="5"/>
        <v>0</v>
      </c>
      <c r="F13" s="33">
        <f t="shared" si="5"/>
        <v>0</v>
      </c>
      <c r="G13" s="33">
        <f t="shared" si="5"/>
        <v>0</v>
      </c>
      <c r="H13" s="33">
        <f t="shared" si="5"/>
        <v>0</v>
      </c>
      <c r="I13" s="33">
        <f t="shared" si="5"/>
        <v>0</v>
      </c>
      <c r="J13" s="33">
        <f t="shared" si="5"/>
        <v>0</v>
      </c>
      <c r="K13" s="33">
        <f t="shared" si="5"/>
        <v>0</v>
      </c>
      <c r="L13" s="33">
        <f t="shared" si="5"/>
        <v>0</v>
      </c>
      <c r="M13" s="33">
        <f t="shared" si="5"/>
        <v>3.0009999999999999</v>
      </c>
      <c r="N13" s="33">
        <f t="shared" si="5"/>
        <v>0</v>
      </c>
      <c r="O13" s="33">
        <f t="shared" si="5"/>
        <v>0</v>
      </c>
      <c r="P13" s="33">
        <f t="shared" si="5"/>
        <v>3.0009999999999999</v>
      </c>
      <c r="Q13" s="33">
        <f t="shared" si="5"/>
        <v>0</v>
      </c>
      <c r="R13" s="33">
        <f t="shared" si="5"/>
        <v>148.29999999999998</v>
      </c>
    </row>
    <row r="14" spans="1:19" ht="18.75" x14ac:dyDescent="0.3">
      <c r="A14" s="7"/>
      <c r="B14" s="9" t="s">
        <v>40</v>
      </c>
      <c r="C14" s="33">
        <f>D14+E14+F14</f>
        <v>18.28</v>
      </c>
      <c r="D14" s="30">
        <f>18.28</f>
        <v>18.28</v>
      </c>
      <c r="E14" s="30"/>
      <c r="F14" s="30"/>
      <c r="G14" s="33">
        <f>H14+I14+J14+K14+L14</f>
        <v>0</v>
      </c>
      <c r="H14" s="30"/>
      <c r="I14" s="30"/>
      <c r="J14" s="30"/>
      <c r="K14" s="30"/>
      <c r="L14" s="30"/>
      <c r="M14" s="33">
        <f>N14+O14+P14+Q14</f>
        <v>0</v>
      </c>
      <c r="N14" s="30"/>
      <c r="O14" s="30"/>
      <c r="P14" s="30"/>
      <c r="Q14" s="30"/>
      <c r="R14" s="33">
        <f>C14+G14+M14</f>
        <v>18.28</v>
      </c>
    </row>
    <row r="15" spans="1:19" ht="18.75" x14ac:dyDescent="0.3">
      <c r="A15" s="7"/>
      <c r="B15" s="9" t="s">
        <v>31</v>
      </c>
      <c r="C15" s="33">
        <f>D15+E15+F15</f>
        <v>127.01899999999999</v>
      </c>
      <c r="D15" s="30">
        <f>95.233+31.046+0.74</f>
        <v>127.01899999999999</v>
      </c>
      <c r="E15" s="30"/>
      <c r="F15" s="30"/>
      <c r="G15" s="33">
        <f>H15+I15+J15+K15+L15</f>
        <v>0</v>
      </c>
      <c r="H15" s="30"/>
      <c r="I15" s="30"/>
      <c r="J15" s="30"/>
      <c r="K15" s="30"/>
      <c r="L15" s="30"/>
      <c r="M15" s="33">
        <f>N15+O15+P15+Q15</f>
        <v>3.0009999999999999</v>
      </c>
      <c r="N15" s="30"/>
      <c r="O15" s="30"/>
      <c r="P15" s="30">
        <f>3.001</f>
        <v>3.0009999999999999</v>
      </c>
      <c r="Q15" s="30"/>
      <c r="R15" s="33">
        <f>C15+G15+M15</f>
        <v>130.01999999999998</v>
      </c>
    </row>
    <row r="16" spans="1:19" ht="18.75" x14ac:dyDescent="0.3">
      <c r="A16" s="7">
        <v>4</v>
      </c>
      <c r="B16" s="8" t="s">
        <v>36</v>
      </c>
      <c r="C16" s="33">
        <f t="shared" si="2"/>
        <v>0</v>
      </c>
      <c r="D16" s="30"/>
      <c r="E16" s="30"/>
      <c r="F16" s="30"/>
      <c r="G16" s="33">
        <f t="shared" si="3"/>
        <v>0</v>
      </c>
      <c r="H16" s="30"/>
      <c r="I16" s="30"/>
      <c r="J16" s="30"/>
      <c r="K16" s="30"/>
      <c r="L16" s="30"/>
      <c r="M16" s="33">
        <f t="shared" si="4"/>
        <v>0</v>
      </c>
      <c r="N16" s="30"/>
      <c r="O16" s="30"/>
      <c r="P16" s="30"/>
      <c r="Q16" s="30"/>
      <c r="R16" s="33">
        <f>C16+G16+M16</f>
        <v>0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P3:R3"/>
    <mergeCell ref="A4:A6"/>
    <mergeCell ref="B4:B6"/>
    <mergeCell ref="C4:F4"/>
    <mergeCell ref="G4:L4"/>
    <mergeCell ref="M4:Q4"/>
    <mergeCell ref="R4:R6"/>
    <mergeCell ref="C5:C6"/>
    <mergeCell ref="D5:F5"/>
    <mergeCell ref="G5:G6"/>
    <mergeCell ref="H5:L5"/>
    <mergeCell ref="M5:M6"/>
    <mergeCell ref="N5:Q5"/>
  </mergeCells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сорт.структура РГК</vt:lpstr>
      <vt:lpstr>Освоєння РГК</vt:lpstr>
      <vt:lpstr>сорт.структура РПЗЛГ</vt:lpstr>
      <vt:lpstr>'Освоєння РГК'!Область_друку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2015-06-05T13:50:24Z</cp:lastPrinted>
  <dcterms:created xsi:type="dcterms:W3CDTF">2006-09-28T05:33:49Z</dcterms:created>
  <dcterms:modified xsi:type="dcterms:W3CDTF">2021-02-04T09:18:44Z</dcterms:modified>
</cp:coreProperties>
</file>