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650" activeTab="1"/>
  </bookViews>
  <sheets>
    <sheet name="сорт.структура РГК" sheetId="1" r:id="rId1"/>
    <sheet name="Освоєння РГК" sheetId="2" r:id="rId2"/>
    <sheet name="сорт.структура РПЗЛГ" sheetId="5" r:id="rId3"/>
  </sheets>
  <definedNames>
    <definedName name="_xlnm.Print_Area" localSheetId="1">'Освоєння РГК'!$A$1:$M$12</definedName>
    <definedName name="_xlnm.Print_Area" localSheetId="0">'сорт.структура РГК'!#REF!</definedName>
    <definedName name="_xlnm.Print_Area" localSheetId="2">'сорт.структура РПЗЛГ'!#REF!</definedName>
  </definedNames>
  <calcPr calcId="162913"/>
</workbook>
</file>

<file path=xl/calcChain.xml><?xml version="1.0" encoding="utf-8"?>
<calcChain xmlns="http://schemas.openxmlformats.org/spreadsheetml/2006/main">
  <c r="D15" i="1" l="1"/>
  <c r="F9" i="2"/>
  <c r="E9" i="2"/>
  <c r="F11" i="2"/>
  <c r="E11" i="2"/>
  <c r="P15" i="5" l="1"/>
  <c r="D11" i="5"/>
  <c r="D12" i="5"/>
  <c r="D10" i="5"/>
  <c r="D9" i="5"/>
  <c r="D14" i="5"/>
  <c r="D15" i="5"/>
  <c r="N10" i="5"/>
  <c r="N9" i="5"/>
  <c r="N15" i="5"/>
  <c r="H11" i="5"/>
  <c r="H15" i="5"/>
  <c r="O11" i="5"/>
  <c r="O10" i="5"/>
  <c r="O9" i="5"/>
  <c r="O15" i="5"/>
  <c r="P11" i="5"/>
  <c r="P10" i="5"/>
  <c r="P9" i="5"/>
  <c r="E12" i="5"/>
  <c r="E11" i="5"/>
  <c r="I11" i="5"/>
  <c r="E10" i="5"/>
  <c r="E15" i="5"/>
  <c r="J15" i="5"/>
  <c r="I15" i="5"/>
  <c r="N11" i="5"/>
  <c r="D11" i="1"/>
  <c r="O15" i="1"/>
  <c r="N9" i="1"/>
  <c r="D16" i="5"/>
  <c r="J16" i="1"/>
  <c r="E16" i="1"/>
  <c r="D16" i="1"/>
  <c r="O16" i="1"/>
  <c r="P16" i="1"/>
  <c r="E11" i="1"/>
  <c r="N11" i="1"/>
  <c r="H11" i="1"/>
  <c r="O11" i="1"/>
  <c r="P11" i="1"/>
  <c r="E12" i="1"/>
  <c r="E10" i="1"/>
  <c r="D12" i="1"/>
  <c r="D10" i="1"/>
  <c r="D9" i="1"/>
  <c r="N10" i="1"/>
  <c r="H12" i="1"/>
  <c r="O10" i="1"/>
  <c r="O9" i="1"/>
  <c r="P10" i="1"/>
  <c r="P9" i="1"/>
  <c r="E15" i="1"/>
  <c r="N15" i="1"/>
  <c r="P15" i="1"/>
  <c r="H15" i="1"/>
  <c r="J11" i="1"/>
  <c r="I11" i="1"/>
  <c r="E14" i="1"/>
  <c r="D14" i="1"/>
  <c r="N14" i="1"/>
  <c r="O14" i="1"/>
  <c r="Q15" i="1"/>
  <c r="I15" i="1"/>
  <c r="K15" i="1"/>
  <c r="L15" i="1"/>
  <c r="F10" i="2" l="1"/>
  <c r="E10" i="2"/>
  <c r="M16" i="5" l="1"/>
  <c r="G16" i="5"/>
  <c r="C16" i="5"/>
  <c r="P13" i="5"/>
  <c r="M15" i="5"/>
  <c r="G15" i="5"/>
  <c r="C15" i="5"/>
  <c r="M14" i="5"/>
  <c r="G14" i="5"/>
  <c r="C14" i="5"/>
  <c r="Q13" i="5"/>
  <c r="O13" i="5"/>
  <c r="L13" i="5"/>
  <c r="K13" i="5"/>
  <c r="J13" i="5"/>
  <c r="I13" i="5"/>
  <c r="H13" i="5"/>
  <c r="F13" i="5"/>
  <c r="E13" i="5"/>
  <c r="M12" i="5"/>
  <c r="G12" i="5"/>
  <c r="C12" i="5"/>
  <c r="M11" i="5"/>
  <c r="G11" i="5"/>
  <c r="E8" i="5"/>
  <c r="C11" i="5"/>
  <c r="M10" i="5"/>
  <c r="G10" i="5"/>
  <c r="C10" i="5"/>
  <c r="M9" i="5"/>
  <c r="G9" i="5"/>
  <c r="C9" i="5"/>
  <c r="Q8" i="5"/>
  <c r="P8" i="5"/>
  <c r="O8" i="5"/>
  <c r="N8" i="5"/>
  <c r="L8" i="5"/>
  <c r="L7" i="5" s="1"/>
  <c r="K8" i="5"/>
  <c r="J8" i="5"/>
  <c r="I8" i="5"/>
  <c r="H8" i="5"/>
  <c r="F8" i="5"/>
  <c r="D8" i="5"/>
  <c r="J7" i="5"/>
  <c r="F7" i="5"/>
  <c r="M16" i="1"/>
  <c r="G16" i="1"/>
  <c r="C16" i="1"/>
  <c r="M15" i="1"/>
  <c r="G15" i="1"/>
  <c r="C15" i="1"/>
  <c r="M14" i="1"/>
  <c r="G14" i="1"/>
  <c r="C14" i="1"/>
  <c r="Q13" i="1"/>
  <c r="P13" i="1"/>
  <c r="O13" i="1"/>
  <c r="N13" i="1"/>
  <c r="L13" i="1"/>
  <c r="K13" i="1"/>
  <c r="J13" i="1"/>
  <c r="I13" i="1"/>
  <c r="H13" i="1"/>
  <c r="F13" i="1"/>
  <c r="E13" i="1"/>
  <c r="D13" i="1"/>
  <c r="M12" i="1"/>
  <c r="G12" i="1"/>
  <c r="C12" i="1"/>
  <c r="M11" i="1"/>
  <c r="G11" i="1"/>
  <c r="C11" i="1"/>
  <c r="M10" i="1"/>
  <c r="G10" i="1"/>
  <c r="C10" i="1"/>
  <c r="O8" i="1"/>
  <c r="M9" i="1"/>
  <c r="G9" i="1"/>
  <c r="C9" i="1"/>
  <c r="Q8" i="1"/>
  <c r="P8" i="1"/>
  <c r="N8" i="1"/>
  <c r="L8" i="1"/>
  <c r="K8" i="1"/>
  <c r="J8" i="1"/>
  <c r="J7" i="1" s="1"/>
  <c r="I8" i="1"/>
  <c r="H8" i="1"/>
  <c r="H7" i="1" s="1"/>
  <c r="F8" i="1"/>
  <c r="F7" i="1" s="1"/>
  <c r="E8" i="1"/>
  <c r="D8" i="1"/>
  <c r="R12" i="5" l="1"/>
  <c r="R14" i="5"/>
  <c r="L7" i="1"/>
  <c r="K7" i="1"/>
  <c r="Q7" i="1"/>
  <c r="R16" i="5"/>
  <c r="G8" i="5"/>
  <c r="I7" i="5"/>
  <c r="K7" i="5"/>
  <c r="O7" i="5"/>
  <c r="G13" i="5"/>
  <c r="G7" i="5" s="1"/>
  <c r="G13" i="1"/>
  <c r="Q7" i="5"/>
  <c r="M13" i="5"/>
  <c r="H7" i="5"/>
  <c r="R11" i="5"/>
  <c r="R10" i="5"/>
  <c r="D7" i="1"/>
  <c r="E7" i="5"/>
  <c r="M8" i="5"/>
  <c r="P7" i="5"/>
  <c r="N7" i="1"/>
  <c r="P7" i="1"/>
  <c r="O7" i="1"/>
  <c r="M13" i="1"/>
  <c r="R14" i="1"/>
  <c r="M8" i="1"/>
  <c r="R10" i="1"/>
  <c r="I7" i="1"/>
  <c r="R11" i="1"/>
  <c r="R16" i="1"/>
  <c r="E7" i="1"/>
  <c r="C8" i="5"/>
  <c r="R9" i="5"/>
  <c r="R15" i="5"/>
  <c r="R13" i="5" s="1"/>
  <c r="C13" i="5"/>
  <c r="D13" i="5"/>
  <c r="D7" i="5" s="1"/>
  <c r="N13" i="5"/>
  <c r="N7" i="5" s="1"/>
  <c r="C8" i="1"/>
  <c r="R9" i="1"/>
  <c r="G8" i="1"/>
  <c r="R12" i="1"/>
  <c r="R15" i="1"/>
  <c r="C13" i="1"/>
  <c r="G7" i="1" l="1"/>
  <c r="M7" i="5"/>
  <c r="R8" i="5"/>
  <c r="R7" i="5" s="1"/>
  <c r="R13" i="1"/>
  <c r="M7" i="1"/>
  <c r="C7" i="5"/>
  <c r="R8" i="1"/>
  <c r="C7" i="1"/>
  <c r="R7" i="1" l="1"/>
  <c r="D11" i="2"/>
  <c r="E12" i="2"/>
  <c r="D10" i="2"/>
  <c r="F12" i="2"/>
  <c r="D9" i="2" l="1"/>
  <c r="D12" i="2" s="1"/>
  <c r="I12" i="2" l="1"/>
  <c r="J12" i="2"/>
  <c r="H12" i="2"/>
  <c r="L9" i="2" l="1"/>
  <c r="G11" i="2" l="1"/>
  <c r="G10" i="2"/>
  <c r="K11" i="2" l="1"/>
  <c r="B12" i="2"/>
  <c r="M9" i="2"/>
  <c r="M10" i="2"/>
  <c r="L10" i="2"/>
  <c r="C10" i="2"/>
  <c r="C12" i="2" s="1"/>
  <c r="K10" i="2" l="1"/>
  <c r="M11" i="2"/>
  <c r="M12" i="2" s="1"/>
  <c r="L11" i="2"/>
  <c r="L12" i="2" s="1"/>
  <c r="G9" i="2"/>
  <c r="G12" i="2" s="1"/>
  <c r="K9" i="2" l="1"/>
  <c r="K12" i="2" s="1"/>
</calcChain>
</file>

<file path=xl/sharedStrings.xml><?xml version="1.0" encoding="utf-8"?>
<sst xmlns="http://schemas.openxmlformats.org/spreadsheetml/2006/main" count="101" uniqueCount="51">
  <si>
    <t>в т.ч.</t>
  </si>
  <si>
    <t>Разом</t>
  </si>
  <si>
    <t>дрова</t>
  </si>
  <si>
    <t>Звіт</t>
  </si>
  <si>
    <t>Господарство</t>
  </si>
  <si>
    <t>Розрахункова, куб.м</t>
  </si>
  <si>
    <t>Площа, га</t>
  </si>
  <si>
    <t>Згідно лісорубних квитків</t>
  </si>
  <si>
    <t>Заготовлено</t>
  </si>
  <si>
    <t>Залишок по л/к</t>
  </si>
  <si>
    <t>Всього,м3</t>
  </si>
  <si>
    <t>ділова</t>
  </si>
  <si>
    <t>Всього по ЛГ</t>
  </si>
  <si>
    <t>хлисти</t>
  </si>
  <si>
    <t>Виконання сортиментної структури</t>
  </si>
  <si>
    <t>№ з/п</t>
  </si>
  <si>
    <t>Найменування сортиментів</t>
  </si>
  <si>
    <t>хвойні</t>
  </si>
  <si>
    <t>твердолистяні</t>
  </si>
  <si>
    <t>м'ягколистяні</t>
  </si>
  <si>
    <t>всього</t>
  </si>
  <si>
    <t>сосна</t>
  </si>
  <si>
    <t>ялина</t>
  </si>
  <si>
    <t>дуб</t>
  </si>
  <si>
    <t>граб</t>
  </si>
  <si>
    <t>ясен</t>
  </si>
  <si>
    <t>інші</t>
  </si>
  <si>
    <t>осика</t>
  </si>
  <si>
    <t>вільха</t>
  </si>
  <si>
    <t>береза</t>
  </si>
  <si>
    <t>Лісопродукція - всього</t>
  </si>
  <si>
    <t>деревина дровяна НП</t>
  </si>
  <si>
    <t>клен</t>
  </si>
  <si>
    <t>B</t>
  </si>
  <si>
    <t>C</t>
  </si>
  <si>
    <t>D</t>
  </si>
  <si>
    <t>Хлисти (на залишку)</t>
  </si>
  <si>
    <t>РГК</t>
  </si>
  <si>
    <t>лісоматеріали круглі, всього</t>
  </si>
  <si>
    <t>деревина дровяна, всього</t>
  </si>
  <si>
    <t xml:space="preserve"> в т.ч. деревина дровяна ПВ</t>
  </si>
  <si>
    <t>в т.ч. по класах якості А</t>
  </si>
  <si>
    <t>РПЗЛГ</t>
  </si>
  <si>
    <t>про використання лісосічного фонду по ДП "Рафалівський лісгосп"</t>
  </si>
  <si>
    <t>Хвойне</t>
  </si>
  <si>
    <t>Твердолистяне</t>
  </si>
  <si>
    <t>Мягколистяне</t>
  </si>
  <si>
    <t/>
  </si>
  <si>
    <t>лісосічного фонду за вересень 2021 року по ДП "Рафалівський лісгосп"</t>
  </si>
  <si>
    <t>по рубкам формування і оздоровлення лісів за вересень 2021 року по ДП "Рафалівський лісгосп"</t>
  </si>
  <si>
    <t>за вересень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</si>
</sst>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2" borderId="1" xfId="0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center"/>
    </xf>
    <xf numFmtId="1" fontId="3" fillId="0" borderId="3" xfId="0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1" fontId="3" fillId="3" borderId="3" xfId="0" applyNumberFormat="1" applyFont="1" applyFill="1" applyBorder="1"/>
    <xf numFmtId="0" fontId="2" fillId="3" borderId="3" xfId="0" applyFont="1" applyFill="1" applyBorder="1" applyAlignment="1">
      <alignment horizontal="right"/>
    </xf>
    <xf numFmtId="0" fontId="0" fillId="0" borderId="0" xfId="0" quotePrefix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24"/>
  <sheetViews>
    <sheetView zoomScale="90" zoomScaleNormal="90" zoomScaleSheetLayoutView="85" workbookViewId="0">
      <selection activeCell="D15" sqref="D15"/>
    </sheetView>
  </sheetViews>
  <sheetFormatPr defaultRowHeight="15" x14ac:dyDescent="0.25"/>
  <cols>
    <col min="1" max="1" width="4.7109375" customWidth="1"/>
    <col min="2" max="2" width="35" customWidth="1"/>
    <col min="3" max="3" width="13.28515625" customWidth="1"/>
    <col min="4" max="4" width="10.5703125" bestFit="1" customWidth="1"/>
    <col min="5" max="5" width="10.42578125" customWidth="1"/>
    <col min="6" max="6" width="10" customWidth="1"/>
    <col min="7" max="7" width="9.28515625" bestFit="1" customWidth="1"/>
    <col min="8" max="8" width="10.5703125" bestFit="1" customWidth="1"/>
    <col min="9" max="10" width="9.28515625" bestFit="1" customWidth="1"/>
    <col min="13" max="13" width="12.7109375" customWidth="1"/>
    <col min="14" max="16" width="9.28515625" bestFit="1" customWidth="1"/>
    <col min="17" max="17" width="9.28515625" customWidth="1"/>
    <col min="18" max="18" width="13.140625" customWidth="1"/>
  </cols>
  <sheetData>
    <row r="1" spans="1:19" ht="18.75" x14ac:dyDescent="0.3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9" ht="18.75" x14ac:dyDescent="0.3">
      <c r="A2" s="39" t="s">
        <v>48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9" ht="18.75" x14ac:dyDescent="0.3">
      <c r="A3" s="26"/>
      <c r="B3" s="33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50" t="s">
        <v>37</v>
      </c>
      <c r="Q3" s="50"/>
      <c r="R3" s="51"/>
    </row>
    <row r="4" spans="1:19" ht="18.75" customHeight="1" x14ac:dyDescent="0.3">
      <c r="A4" s="40" t="s">
        <v>15</v>
      </c>
      <c r="B4" s="40" t="s">
        <v>16</v>
      </c>
      <c r="C4" s="47" t="s">
        <v>17</v>
      </c>
      <c r="D4" s="48"/>
      <c r="E4" s="48"/>
      <c r="F4" s="49"/>
      <c r="G4" s="43" t="s">
        <v>18</v>
      </c>
      <c r="H4" s="43"/>
      <c r="I4" s="43"/>
      <c r="J4" s="43"/>
      <c r="K4" s="43"/>
      <c r="L4" s="43"/>
      <c r="M4" s="47" t="s">
        <v>19</v>
      </c>
      <c r="N4" s="48"/>
      <c r="O4" s="48"/>
      <c r="P4" s="48"/>
      <c r="Q4" s="49"/>
      <c r="R4" s="44" t="s">
        <v>1</v>
      </c>
    </row>
    <row r="5" spans="1:19" ht="18.75" x14ac:dyDescent="0.3">
      <c r="A5" s="41"/>
      <c r="B5" s="41"/>
      <c r="C5" s="44" t="s">
        <v>20</v>
      </c>
      <c r="D5" s="47" t="s">
        <v>0</v>
      </c>
      <c r="E5" s="48"/>
      <c r="F5" s="49"/>
      <c r="G5" s="44" t="s">
        <v>20</v>
      </c>
      <c r="H5" s="43" t="s">
        <v>0</v>
      </c>
      <c r="I5" s="43"/>
      <c r="J5" s="43"/>
      <c r="K5" s="43"/>
      <c r="L5" s="43"/>
      <c r="M5" s="45" t="s">
        <v>20</v>
      </c>
      <c r="N5" s="47" t="s">
        <v>0</v>
      </c>
      <c r="O5" s="48"/>
      <c r="P5" s="48"/>
      <c r="Q5" s="49"/>
      <c r="R5" s="45"/>
    </row>
    <row r="6" spans="1:19" ht="18.75" x14ac:dyDescent="0.3">
      <c r="A6" s="42"/>
      <c r="B6" s="42"/>
      <c r="C6" s="46"/>
      <c r="D6" s="14" t="s">
        <v>21</v>
      </c>
      <c r="E6" s="14" t="s">
        <v>22</v>
      </c>
      <c r="F6" s="14" t="s">
        <v>26</v>
      </c>
      <c r="G6" s="46"/>
      <c r="H6" s="34" t="s">
        <v>23</v>
      </c>
      <c r="I6" s="34" t="s">
        <v>24</v>
      </c>
      <c r="J6" s="34" t="s">
        <v>25</v>
      </c>
      <c r="K6" s="34" t="s">
        <v>32</v>
      </c>
      <c r="L6" s="34" t="s">
        <v>26</v>
      </c>
      <c r="M6" s="46"/>
      <c r="N6" s="14" t="s">
        <v>27</v>
      </c>
      <c r="O6" s="14" t="s">
        <v>28</v>
      </c>
      <c r="P6" s="14" t="s">
        <v>29</v>
      </c>
      <c r="Q6" s="14" t="s">
        <v>26</v>
      </c>
      <c r="R6" s="46"/>
    </row>
    <row r="7" spans="1:19" ht="18.75" x14ac:dyDescent="0.3">
      <c r="A7" s="28">
        <v>1</v>
      </c>
      <c r="B7" s="29" t="s">
        <v>30</v>
      </c>
      <c r="C7" s="30">
        <f>C8+C13+C16</f>
        <v>16725.386999999999</v>
      </c>
      <c r="D7" s="30">
        <f t="shared" ref="D7:Q7" si="0">D8+D13+D16</f>
        <v>14840.734</v>
      </c>
      <c r="E7" s="30">
        <f t="shared" si="0"/>
        <v>1884.653</v>
      </c>
      <c r="F7" s="30">
        <f t="shared" si="0"/>
        <v>0</v>
      </c>
      <c r="G7" s="30">
        <f t="shared" si="0"/>
        <v>2021.452</v>
      </c>
      <c r="H7" s="30">
        <f t="shared" si="0"/>
        <v>886.06399999999996</v>
      </c>
      <c r="I7" s="30">
        <f t="shared" si="0"/>
        <v>1065.7090000000001</v>
      </c>
      <c r="J7" s="30">
        <f t="shared" si="0"/>
        <v>27.218</v>
      </c>
      <c r="K7" s="30">
        <f t="shared" si="0"/>
        <v>10.467000000000001</v>
      </c>
      <c r="L7" s="30">
        <f t="shared" si="0"/>
        <v>31.994</v>
      </c>
      <c r="M7" s="30">
        <f t="shared" si="0"/>
        <v>9333.4570000000003</v>
      </c>
      <c r="N7" s="30">
        <f t="shared" si="0"/>
        <v>736.60599999999999</v>
      </c>
      <c r="O7" s="30">
        <f t="shared" si="0"/>
        <v>5389.143</v>
      </c>
      <c r="P7" s="30">
        <f t="shared" si="0"/>
        <v>3195.4749999999999</v>
      </c>
      <c r="Q7" s="30">
        <f t="shared" si="0"/>
        <v>12.233000000000001</v>
      </c>
      <c r="R7" s="30">
        <f>R8+R13+R16</f>
        <v>28080.295999999998</v>
      </c>
      <c r="S7" s="2"/>
    </row>
    <row r="8" spans="1:19" ht="18.75" x14ac:dyDescent="0.3">
      <c r="A8" s="28">
        <v>2</v>
      </c>
      <c r="B8" s="31" t="s">
        <v>38</v>
      </c>
      <c r="C8" s="30">
        <f>C9+C10+C11+C12</f>
        <v>14198.904</v>
      </c>
      <c r="D8" s="30">
        <f>D9+D10+D11+D12</f>
        <v>12799.574000000001</v>
      </c>
      <c r="E8" s="30">
        <f t="shared" ref="E8:R8" si="1">E9+E10+E11+E12</f>
        <v>1399.33</v>
      </c>
      <c r="F8" s="30">
        <f t="shared" si="1"/>
        <v>0</v>
      </c>
      <c r="G8" s="30">
        <f t="shared" si="1"/>
        <v>1228.95</v>
      </c>
      <c r="H8" s="30">
        <f t="shared" si="1"/>
        <v>559.43299999999999</v>
      </c>
      <c r="I8" s="30">
        <f t="shared" si="1"/>
        <v>648.33900000000006</v>
      </c>
      <c r="J8" s="30">
        <f t="shared" si="1"/>
        <v>21.178000000000001</v>
      </c>
      <c r="K8" s="30">
        <f t="shared" si="1"/>
        <v>0</v>
      </c>
      <c r="L8" s="30">
        <f t="shared" si="1"/>
        <v>0</v>
      </c>
      <c r="M8" s="30">
        <f t="shared" si="1"/>
        <v>6041.8019999999997</v>
      </c>
      <c r="N8" s="30">
        <f t="shared" si="1"/>
        <v>462.03</v>
      </c>
      <c r="O8" s="30">
        <f t="shared" si="1"/>
        <v>3433.8939999999998</v>
      </c>
      <c r="P8" s="30">
        <f t="shared" si="1"/>
        <v>2145.8779999999997</v>
      </c>
      <c r="Q8" s="30">
        <f t="shared" si="1"/>
        <v>0</v>
      </c>
      <c r="R8" s="30">
        <f t="shared" si="1"/>
        <v>21469.655999999999</v>
      </c>
    </row>
    <row r="9" spans="1:19" ht="18.75" x14ac:dyDescent="0.3">
      <c r="A9" s="34"/>
      <c r="B9" s="8" t="s">
        <v>41</v>
      </c>
      <c r="C9" s="30">
        <f t="shared" ref="C9:C16" si="2">D9+E9+F9</f>
        <v>1502.809</v>
      </c>
      <c r="D9" s="27">
        <f>1141.67+0.359+360.78</f>
        <v>1502.809</v>
      </c>
      <c r="E9" s="27"/>
      <c r="F9" s="27"/>
      <c r="G9" s="30">
        <f t="shared" ref="G9:G16" si="3">H9+I9+J9+K9+L9</f>
        <v>0</v>
      </c>
      <c r="H9" s="27"/>
      <c r="I9" s="27"/>
      <c r="J9" s="27"/>
      <c r="K9" s="27"/>
      <c r="L9" s="27"/>
      <c r="M9" s="30">
        <f t="shared" ref="M9:M16" si="4">N9+O9+P9+Q9</f>
        <v>1958.403</v>
      </c>
      <c r="N9" s="27">
        <f>4.886+44.002</f>
        <v>48.888000000000005</v>
      </c>
      <c r="O9" s="27">
        <f>535.542+821.32</f>
        <v>1356.8620000000001</v>
      </c>
      <c r="P9" s="27">
        <f>331.548+221.105</f>
        <v>552.65300000000002</v>
      </c>
      <c r="Q9" s="27"/>
      <c r="R9" s="30">
        <f>C9+G9+M9</f>
        <v>3461.212</v>
      </c>
    </row>
    <row r="10" spans="1:19" ht="18.75" x14ac:dyDescent="0.3">
      <c r="A10" s="34"/>
      <c r="B10" s="8" t="s">
        <v>33</v>
      </c>
      <c r="C10" s="30">
        <f t="shared" si="2"/>
        <v>3940.1579999999999</v>
      </c>
      <c r="D10" s="27">
        <f>2515.022+1170.842</f>
        <v>3685.864</v>
      </c>
      <c r="E10" s="27">
        <f>215.958+38.336</f>
        <v>254.29399999999998</v>
      </c>
      <c r="F10" s="27"/>
      <c r="G10" s="30">
        <f t="shared" si="3"/>
        <v>0</v>
      </c>
      <c r="H10" s="27"/>
      <c r="I10" s="27"/>
      <c r="J10" s="27">
        <v>0</v>
      </c>
      <c r="K10" s="27"/>
      <c r="L10" s="27"/>
      <c r="M10" s="30">
        <f t="shared" si="4"/>
        <v>2271.1589999999997</v>
      </c>
      <c r="N10" s="27">
        <f>20.744+87.583</f>
        <v>108.327</v>
      </c>
      <c r="O10" s="27">
        <f>442.36+802.929</f>
        <v>1245.289</v>
      </c>
      <c r="P10" s="27">
        <f>632.934+284.609</f>
        <v>917.54299999999989</v>
      </c>
      <c r="Q10" s="27"/>
      <c r="R10" s="30">
        <f>C10+G10+M10</f>
        <v>6211.3169999999991</v>
      </c>
    </row>
    <row r="11" spans="1:19" ht="18.75" x14ac:dyDescent="0.3">
      <c r="A11" s="34"/>
      <c r="B11" s="8" t="s">
        <v>34</v>
      </c>
      <c r="C11" s="30">
        <f t="shared" si="2"/>
        <v>7390.6040000000003</v>
      </c>
      <c r="D11" s="27">
        <f>7.703+4375.703+832.721+1640.34+300.807-770</f>
        <v>6387.2740000000003</v>
      </c>
      <c r="E11" s="27">
        <f>611.233+197.766+118.491+75.84</f>
        <v>1003.3299999999999</v>
      </c>
      <c r="F11" s="27"/>
      <c r="G11" s="30">
        <f t="shared" si="3"/>
        <v>1058.8410000000001</v>
      </c>
      <c r="H11" s="27">
        <f>33.815+296.636+29.873+29</f>
        <v>389.32400000000001</v>
      </c>
      <c r="I11" s="27">
        <f>648.339</f>
        <v>648.33900000000006</v>
      </c>
      <c r="J11" s="27">
        <f>21.178</f>
        <v>21.178000000000001</v>
      </c>
      <c r="K11" s="27"/>
      <c r="L11" s="27"/>
      <c r="M11" s="30">
        <f t="shared" si="4"/>
        <v>1812.24</v>
      </c>
      <c r="N11" s="27">
        <f>257.008+47.807</f>
        <v>304.815</v>
      </c>
      <c r="O11" s="27">
        <f>513.252+318.491</f>
        <v>831.74299999999994</v>
      </c>
      <c r="P11" s="27">
        <f>566.689+108.993</f>
        <v>675.68200000000002</v>
      </c>
      <c r="Q11" s="27"/>
      <c r="R11" s="30">
        <f>C11+G11+M11</f>
        <v>10261.684999999999</v>
      </c>
    </row>
    <row r="12" spans="1:19" ht="18.75" x14ac:dyDescent="0.3">
      <c r="A12" s="34"/>
      <c r="B12" s="8" t="s">
        <v>35</v>
      </c>
      <c r="C12" s="30">
        <f t="shared" si="2"/>
        <v>1365.3330000000001</v>
      </c>
      <c r="D12" s="27">
        <f>21.864+715.6+486.163</f>
        <v>1223.627</v>
      </c>
      <c r="E12" s="27">
        <f>11.768+39.67+4.99+85.278</f>
        <v>141.70600000000002</v>
      </c>
      <c r="F12" s="27"/>
      <c r="G12" s="30">
        <f t="shared" si="3"/>
        <v>170.10900000000001</v>
      </c>
      <c r="H12" s="27">
        <f>132.976+37.133</f>
        <v>170.10900000000001</v>
      </c>
      <c r="I12" s="27"/>
      <c r="J12" s="27"/>
      <c r="K12" s="27"/>
      <c r="L12" s="27"/>
      <c r="M12" s="30">
        <f t="shared" si="4"/>
        <v>0</v>
      </c>
      <c r="N12" s="27">
        <v>0</v>
      </c>
      <c r="O12" s="27"/>
      <c r="P12" s="27">
        <v>0</v>
      </c>
      <c r="Q12" s="27"/>
      <c r="R12" s="30">
        <f>C12+G12+M12</f>
        <v>1535.442</v>
      </c>
    </row>
    <row r="13" spans="1:19" ht="18.75" x14ac:dyDescent="0.3">
      <c r="A13" s="28">
        <v>3</v>
      </c>
      <c r="B13" s="31" t="s">
        <v>39</v>
      </c>
      <c r="C13" s="30">
        <f>C14+C15</f>
        <v>2371.5990000000002</v>
      </c>
      <c r="D13" s="30">
        <f t="shared" ref="D13:R13" si="5">D14+D15</f>
        <v>1900.4859999999999</v>
      </c>
      <c r="E13" s="30">
        <f t="shared" si="5"/>
        <v>471.113</v>
      </c>
      <c r="F13" s="30">
        <f t="shared" si="5"/>
        <v>0</v>
      </c>
      <c r="G13" s="30">
        <f t="shared" si="5"/>
        <v>786.46199999999999</v>
      </c>
      <c r="H13" s="30">
        <f t="shared" si="5"/>
        <v>326.63099999999997</v>
      </c>
      <c r="I13" s="30">
        <f t="shared" si="5"/>
        <v>417.37</v>
      </c>
      <c r="J13" s="30">
        <f t="shared" si="5"/>
        <v>0</v>
      </c>
      <c r="K13" s="30">
        <f t="shared" si="5"/>
        <v>10.467000000000001</v>
      </c>
      <c r="L13" s="30">
        <f t="shared" si="5"/>
        <v>31.994</v>
      </c>
      <c r="M13" s="30">
        <f t="shared" si="5"/>
        <v>2962.8150000000005</v>
      </c>
      <c r="N13" s="30">
        <f t="shared" si="5"/>
        <v>274.57600000000002</v>
      </c>
      <c r="O13" s="30">
        <f t="shared" si="5"/>
        <v>1641.3490000000002</v>
      </c>
      <c r="P13" s="30">
        <f t="shared" si="5"/>
        <v>1034.6570000000002</v>
      </c>
      <c r="Q13" s="30">
        <f t="shared" si="5"/>
        <v>12.233000000000001</v>
      </c>
      <c r="R13" s="30">
        <f t="shared" si="5"/>
        <v>6120.8760000000002</v>
      </c>
    </row>
    <row r="14" spans="1:19" ht="18.75" x14ac:dyDescent="0.3">
      <c r="A14" s="34"/>
      <c r="B14" s="8" t="s">
        <v>40</v>
      </c>
      <c r="C14" s="30">
        <f>D14+E14+F14</f>
        <v>924.01600000000008</v>
      </c>
      <c r="D14" s="27">
        <f>886.23</f>
        <v>886.23</v>
      </c>
      <c r="E14" s="27">
        <f>37.786</f>
        <v>37.786000000000001</v>
      </c>
      <c r="F14" s="27"/>
      <c r="G14" s="30">
        <f>H14+I14+J14+K14+L14</f>
        <v>0</v>
      </c>
      <c r="H14" s="27"/>
      <c r="I14" s="27"/>
      <c r="J14" s="27"/>
      <c r="K14" s="27"/>
      <c r="L14" s="27"/>
      <c r="M14" s="30">
        <f>N14+O14+P14+Q14</f>
        <v>48.617999999999995</v>
      </c>
      <c r="N14" s="27">
        <f>10.01</f>
        <v>10.01</v>
      </c>
      <c r="O14" s="27">
        <f>38.608</f>
        <v>38.607999999999997</v>
      </c>
      <c r="P14" s="27">
        <v>0</v>
      </c>
      <c r="Q14" s="27"/>
      <c r="R14" s="30">
        <f>C14+G14+M14</f>
        <v>972.63400000000001</v>
      </c>
    </row>
    <row r="15" spans="1:19" ht="18.75" x14ac:dyDescent="0.3">
      <c r="A15" s="34"/>
      <c r="B15" s="8" t="s">
        <v>31</v>
      </c>
      <c r="C15" s="30">
        <f>D15+E15+F15</f>
        <v>1447.5829999999999</v>
      </c>
      <c r="D15" s="27">
        <f>902.127+147.715+0.391+163.023-200+1</f>
        <v>1014.2559999999999</v>
      </c>
      <c r="E15" s="27">
        <f>260.693+11.669+87.687+73.278</f>
        <v>433.327</v>
      </c>
      <c r="F15" s="27"/>
      <c r="G15" s="30">
        <f>H15+I15+J15+K15+L15</f>
        <v>786.46199999999999</v>
      </c>
      <c r="H15" s="27">
        <f>316.323+1.084+9.224</f>
        <v>326.63099999999997</v>
      </c>
      <c r="I15" s="27">
        <f>416.286+1.084</f>
        <v>417.37</v>
      </c>
      <c r="J15" s="27"/>
      <c r="K15" s="27">
        <f>10.467</f>
        <v>10.467000000000001</v>
      </c>
      <c r="L15" s="27">
        <f>31.994</f>
        <v>31.994</v>
      </c>
      <c r="M15" s="30">
        <f>N15+O15+P15+Q15</f>
        <v>2914.1970000000006</v>
      </c>
      <c r="N15" s="27">
        <f>193.9+69.436+1.23</f>
        <v>264.56600000000003</v>
      </c>
      <c r="O15" s="27">
        <f>972.264+0.228+722.839+7.41-100</f>
        <v>1602.7410000000002</v>
      </c>
      <c r="P15" s="27">
        <f>861.75+2.023+160.233+1.011+9.64</f>
        <v>1034.6570000000002</v>
      </c>
      <c r="Q15" s="27">
        <f>12.233</f>
        <v>12.233000000000001</v>
      </c>
      <c r="R15" s="30">
        <f>C15+G15+M15</f>
        <v>5148.2420000000002</v>
      </c>
    </row>
    <row r="16" spans="1:19" ht="18.75" x14ac:dyDescent="0.3">
      <c r="A16" s="34">
        <v>4</v>
      </c>
      <c r="B16" s="7" t="s">
        <v>36</v>
      </c>
      <c r="C16" s="30">
        <f t="shared" si="2"/>
        <v>154.88399999999999</v>
      </c>
      <c r="D16" s="27">
        <f>90.1+50.574</f>
        <v>140.67399999999998</v>
      </c>
      <c r="E16" s="27">
        <f>14.21</f>
        <v>14.21</v>
      </c>
      <c r="F16" s="27"/>
      <c r="G16" s="30">
        <f t="shared" si="3"/>
        <v>6.04</v>
      </c>
      <c r="H16" s="27"/>
      <c r="I16" s="27"/>
      <c r="J16" s="27">
        <f>6.04</f>
        <v>6.04</v>
      </c>
      <c r="K16" s="27"/>
      <c r="L16" s="27"/>
      <c r="M16" s="30">
        <f t="shared" si="4"/>
        <v>328.84</v>
      </c>
      <c r="N16" s="27">
        <v>0</v>
      </c>
      <c r="O16" s="27">
        <f>313.9</f>
        <v>313.89999999999998</v>
      </c>
      <c r="P16" s="27">
        <f>14.94</f>
        <v>14.94</v>
      </c>
      <c r="Q16" s="27"/>
      <c r="R16" s="30">
        <f>C16+G16+M16</f>
        <v>489.76399999999995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32" t="s">
        <v>47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2" spans="1:14" x14ac:dyDescent="0.25">
      <c r="C22" s="1"/>
    </row>
    <row r="23" spans="1:14" x14ac:dyDescent="0.25">
      <c r="C23" s="1"/>
    </row>
    <row r="24" spans="1:14" x14ac:dyDescent="0.25">
      <c r="C24" s="1"/>
    </row>
  </sheetData>
  <mergeCells count="15">
    <mergeCell ref="A1:R1"/>
    <mergeCell ref="A2:R2"/>
    <mergeCell ref="A4:A6"/>
    <mergeCell ref="B4:B6"/>
    <mergeCell ref="G4:L4"/>
    <mergeCell ref="R4:R6"/>
    <mergeCell ref="C5:C6"/>
    <mergeCell ref="G5:G6"/>
    <mergeCell ref="H5:L5"/>
    <mergeCell ref="M5:M6"/>
    <mergeCell ref="C4:F4"/>
    <mergeCell ref="D5:F5"/>
    <mergeCell ref="M4:Q4"/>
    <mergeCell ref="N5:Q5"/>
    <mergeCell ref="P3:R3"/>
  </mergeCells>
  <phoneticPr fontId="0" type="noConversion"/>
  <pageMargins left="0.78740157480314965" right="0.39370078740157483" top="0.98425196850393704" bottom="0.3937007874015748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M12"/>
  <sheetViews>
    <sheetView tabSelected="1" zoomScaleNormal="100" zoomScaleSheetLayoutView="100" workbookViewId="0">
      <selection activeCell="I10" sqref="I10"/>
    </sheetView>
  </sheetViews>
  <sheetFormatPr defaultRowHeight="15" x14ac:dyDescent="0.25"/>
  <cols>
    <col min="1" max="1" width="27.28515625" customWidth="1"/>
    <col min="2" max="2" width="13.85546875" customWidth="1"/>
    <col min="3" max="3" width="18.5703125" customWidth="1"/>
    <col min="4" max="5" width="13" customWidth="1"/>
    <col min="6" max="6" width="12.85546875" customWidth="1"/>
    <col min="7" max="7" width="11.5703125" customWidth="1"/>
    <col min="11" max="11" width="10" customWidth="1"/>
  </cols>
  <sheetData>
    <row r="1" spans="1:13" x14ac:dyDescent="0.25">
      <c r="D1" s="3"/>
      <c r="G1" s="3"/>
      <c r="J1" s="3"/>
    </row>
    <row r="2" spans="1:13" x14ac:dyDescent="0.25">
      <c r="D2" s="3"/>
      <c r="G2" s="3"/>
      <c r="J2" s="3"/>
    </row>
    <row r="3" spans="1:13" x14ac:dyDescent="0.25">
      <c r="A3" s="55" t="s">
        <v>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3" x14ac:dyDescent="0.25">
      <c r="A4" s="55" t="s">
        <v>43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3" ht="15.75" thickBot="1" x14ac:dyDescent="0.3">
      <c r="A5" s="56" t="s">
        <v>50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 ht="15.75" thickBot="1" x14ac:dyDescent="0.3">
      <c r="A6" s="57" t="s">
        <v>4</v>
      </c>
      <c r="B6" s="59" t="s">
        <v>5</v>
      </c>
      <c r="C6" s="59" t="s">
        <v>6</v>
      </c>
      <c r="D6" s="52" t="s">
        <v>7</v>
      </c>
      <c r="E6" s="54"/>
      <c r="F6" s="53"/>
      <c r="G6" s="61" t="s">
        <v>8</v>
      </c>
      <c r="H6" s="62"/>
      <c r="I6" s="62"/>
      <c r="J6" s="63"/>
      <c r="K6" s="52" t="s">
        <v>9</v>
      </c>
      <c r="L6" s="54"/>
      <c r="M6" s="53"/>
    </row>
    <row r="7" spans="1:13" ht="15.75" customHeight="1" thickBot="1" x14ac:dyDescent="0.3">
      <c r="A7" s="58"/>
      <c r="B7" s="60"/>
      <c r="C7" s="60"/>
      <c r="D7" s="59" t="s">
        <v>10</v>
      </c>
      <c r="E7" s="52" t="s">
        <v>0</v>
      </c>
      <c r="F7" s="53"/>
      <c r="G7" s="59" t="s">
        <v>10</v>
      </c>
      <c r="H7" s="52" t="s">
        <v>0</v>
      </c>
      <c r="I7" s="54"/>
      <c r="J7" s="53"/>
      <c r="K7" s="59" t="s">
        <v>10</v>
      </c>
      <c r="L7" s="52" t="s">
        <v>0</v>
      </c>
      <c r="M7" s="53"/>
    </row>
    <row r="8" spans="1:13" ht="15.75" thickBot="1" x14ac:dyDescent="0.3">
      <c r="A8" s="58"/>
      <c r="B8" s="60"/>
      <c r="C8" s="60"/>
      <c r="D8" s="60"/>
      <c r="E8" s="11" t="s">
        <v>11</v>
      </c>
      <c r="F8" s="11" t="s">
        <v>2</v>
      </c>
      <c r="G8" s="60"/>
      <c r="H8" s="11" t="s">
        <v>11</v>
      </c>
      <c r="I8" s="11" t="s">
        <v>2</v>
      </c>
      <c r="J8" s="9" t="s">
        <v>13</v>
      </c>
      <c r="K8" s="60"/>
      <c r="L8" s="11" t="s">
        <v>11</v>
      </c>
      <c r="M8" s="11" t="s">
        <v>2</v>
      </c>
    </row>
    <row r="9" spans="1:13" ht="20.100000000000001" customHeight="1" thickBot="1" x14ac:dyDescent="0.3">
      <c r="A9" s="24" t="s">
        <v>44</v>
      </c>
      <c r="B9" s="17">
        <v>59500</v>
      </c>
      <c r="C9" s="17">
        <v>95.9</v>
      </c>
      <c r="D9" s="17">
        <f>E9+F9</f>
        <v>20957</v>
      </c>
      <c r="E9" s="17">
        <f>232+304+182+678+219+309+325+226+207+52+158+382+289+350+219+547+436+431+296+590+430+155+396+4+117+231+41+417+313+76+138+47+620+263+28+10+40+40+47+177+80+326+555+93+18+500+47+61+120+6+14+90+235</f>
        <v>12167</v>
      </c>
      <c r="F9" s="17">
        <f>128+326+21+454+25+363+20+125+7+212+12+244+18+246+18+171+15+35+2+173+9+219+16+272+28+246+18+70+84+7+14+297+16+108+15+162+11+448+191+170+102+15+63+2+31+3+224+9+45+265+18+172+14+85+3+61+6+68+2+206+19+92+9+55+2+16+1+35+2+75+4+34+229+12+198+17+284+14+392+30+30+7+236+18+42+107+110+12+18+85+222-27</f>
        <v>8790</v>
      </c>
      <c r="G9" s="16">
        <f>H9+I9+J9</f>
        <v>16725</v>
      </c>
      <c r="H9" s="16">
        <v>14199</v>
      </c>
      <c r="I9" s="16">
        <v>2371</v>
      </c>
      <c r="J9" s="17">
        <v>155</v>
      </c>
      <c r="K9" s="17">
        <f>D9-G9</f>
        <v>4232</v>
      </c>
      <c r="L9" s="16">
        <f>E9-H9</f>
        <v>-2032</v>
      </c>
      <c r="M9" s="18">
        <f>F9-I9</f>
        <v>6419</v>
      </c>
    </row>
    <row r="10" spans="1:13" ht="20.100000000000001" customHeight="1" thickBot="1" x14ac:dyDescent="0.3">
      <c r="A10" s="19" t="s">
        <v>45</v>
      </c>
      <c r="B10" s="13">
        <v>1940</v>
      </c>
      <c r="C10" s="13">
        <f>0.8+3</f>
        <v>3.8</v>
      </c>
      <c r="D10" s="13">
        <f>E10+F10</f>
        <v>71</v>
      </c>
      <c r="E10" s="13">
        <f>1</f>
        <v>1</v>
      </c>
      <c r="F10" s="13">
        <f>68+2</f>
        <v>70</v>
      </c>
      <c r="G10" s="12">
        <f>H10+I10+J10</f>
        <v>2021</v>
      </c>
      <c r="H10" s="12">
        <v>1229</v>
      </c>
      <c r="I10" s="12">
        <v>786</v>
      </c>
      <c r="J10" s="12">
        <v>6</v>
      </c>
      <c r="K10" s="17">
        <f t="shared" ref="K10:K11" si="0">D10-G10</f>
        <v>-1950</v>
      </c>
      <c r="L10" s="12">
        <f>E10-H10</f>
        <v>-1228</v>
      </c>
      <c r="M10" s="20">
        <f>F10-I10</f>
        <v>-716</v>
      </c>
    </row>
    <row r="11" spans="1:13" ht="20.100000000000001" customHeight="1" thickBot="1" x14ac:dyDescent="0.3">
      <c r="A11" s="25" t="s">
        <v>46</v>
      </c>
      <c r="B11" s="22">
        <v>30540</v>
      </c>
      <c r="C11" s="22">
        <v>57</v>
      </c>
      <c r="D11" s="13">
        <f>E11+F11</f>
        <v>10469</v>
      </c>
      <c r="E11" s="22">
        <f>163+199+337+84+118+92+111+110+152+439+66+397+354+170+129+82+247+65+26+122+105</f>
        <v>3568</v>
      </c>
      <c r="F11" s="22">
        <f>309+18+330+26+316+29+99+9+481+31+456+24+308+27+358+19+384+23+442+54+149+9+511+45+303+38+303+25+147+17+73+6+693+39+171+11+79+4+331+20+169+15</f>
        <v>6901</v>
      </c>
      <c r="G11" s="21">
        <f>H11+I11+J11</f>
        <v>9334</v>
      </c>
      <c r="H11" s="21">
        <v>6042</v>
      </c>
      <c r="I11" s="21">
        <v>2963</v>
      </c>
      <c r="J11" s="22">
        <v>329</v>
      </c>
      <c r="K11" s="17">
        <f t="shared" si="0"/>
        <v>1135</v>
      </c>
      <c r="L11" s="21">
        <f>E11-H11</f>
        <v>-2474</v>
      </c>
      <c r="M11" s="23">
        <f>E11-H11</f>
        <v>-2474</v>
      </c>
    </row>
    <row r="12" spans="1:13" ht="20.100000000000001" customHeight="1" thickBot="1" x14ac:dyDescent="0.3">
      <c r="A12" s="5" t="s">
        <v>12</v>
      </c>
      <c r="B12" s="4">
        <f t="shared" ref="B12:C12" si="1">SUM(B9:B11)</f>
        <v>91980</v>
      </c>
      <c r="C12" s="6">
        <f t="shared" si="1"/>
        <v>156.69999999999999</v>
      </c>
      <c r="D12" s="4">
        <f>SUM(D9:D11)</f>
        <v>31497</v>
      </c>
      <c r="E12" s="4">
        <f>SUM(E9:E11)</f>
        <v>15736</v>
      </c>
      <c r="F12" s="10">
        <f>SUM(F9:F11)</f>
        <v>15761</v>
      </c>
      <c r="G12" s="15">
        <f>SUM(G9:G11)</f>
        <v>28080</v>
      </c>
      <c r="H12" s="15">
        <f>SUM(H9:H11)</f>
        <v>21470</v>
      </c>
      <c r="I12" s="15">
        <f t="shared" ref="I12:J12" si="2">SUM(I9:I11)</f>
        <v>6120</v>
      </c>
      <c r="J12" s="15">
        <f t="shared" si="2"/>
        <v>490</v>
      </c>
      <c r="K12" s="15">
        <f>SUM(K9:K11)</f>
        <v>3417</v>
      </c>
      <c r="L12" s="15">
        <f>SUM(L9:L11)</f>
        <v>-5734</v>
      </c>
      <c r="M12" s="15">
        <f>SUM(M9:M11)</f>
        <v>3229</v>
      </c>
    </row>
  </sheetData>
  <mergeCells count="15">
    <mergeCell ref="L7:M7"/>
    <mergeCell ref="K6:M6"/>
    <mergeCell ref="A3:L3"/>
    <mergeCell ref="A4:L4"/>
    <mergeCell ref="A5:L5"/>
    <mergeCell ref="A6:A8"/>
    <mergeCell ref="B6:B8"/>
    <mergeCell ref="C6:C8"/>
    <mergeCell ref="D6:F6"/>
    <mergeCell ref="D7:D8"/>
    <mergeCell ref="E7:F7"/>
    <mergeCell ref="G7:G8"/>
    <mergeCell ref="G6:J6"/>
    <mergeCell ref="H7:J7"/>
    <mergeCell ref="K7:K8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24"/>
  <sheetViews>
    <sheetView zoomScale="80" zoomScaleNormal="80" zoomScaleSheetLayoutView="85" workbookViewId="0">
      <selection activeCell="P15" sqref="P15"/>
    </sheetView>
  </sheetViews>
  <sheetFormatPr defaultRowHeight="15" x14ac:dyDescent="0.25"/>
  <cols>
    <col min="1" max="1" width="4.7109375" customWidth="1"/>
    <col min="2" max="2" width="35" customWidth="1"/>
    <col min="3" max="3" width="13.28515625" customWidth="1"/>
    <col min="4" max="4" width="10.5703125" bestFit="1" customWidth="1"/>
    <col min="5" max="5" width="10.42578125" customWidth="1"/>
    <col min="6" max="6" width="10" customWidth="1"/>
    <col min="7" max="7" width="9.28515625" bestFit="1" customWidth="1"/>
    <col min="8" max="8" width="10.5703125" bestFit="1" customWidth="1"/>
    <col min="9" max="10" width="9.28515625" bestFit="1" customWidth="1"/>
    <col min="13" max="13" width="12.7109375" customWidth="1"/>
    <col min="14" max="16" width="9.28515625" bestFit="1" customWidth="1"/>
    <col min="17" max="17" width="9.28515625" customWidth="1"/>
    <col min="18" max="18" width="13.140625" customWidth="1"/>
  </cols>
  <sheetData>
    <row r="1" spans="1:19" ht="18.75" x14ac:dyDescent="0.3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9" ht="18.75" x14ac:dyDescent="0.3">
      <c r="A2" s="39" t="s">
        <v>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9" ht="18.75" x14ac:dyDescent="0.3">
      <c r="A3" s="26"/>
      <c r="B3" s="33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50" t="s">
        <v>42</v>
      </c>
      <c r="Q3" s="50"/>
      <c r="R3" s="51"/>
    </row>
    <row r="4" spans="1:19" ht="18.75" customHeight="1" x14ac:dyDescent="0.3">
      <c r="A4" s="40" t="s">
        <v>15</v>
      </c>
      <c r="B4" s="40" t="s">
        <v>16</v>
      </c>
      <c r="C4" s="47" t="s">
        <v>17</v>
      </c>
      <c r="D4" s="48"/>
      <c r="E4" s="48"/>
      <c r="F4" s="49"/>
      <c r="G4" s="43" t="s">
        <v>18</v>
      </c>
      <c r="H4" s="43"/>
      <c r="I4" s="43"/>
      <c r="J4" s="43"/>
      <c r="K4" s="43"/>
      <c r="L4" s="43"/>
      <c r="M4" s="47" t="s">
        <v>19</v>
      </c>
      <c r="N4" s="48"/>
      <c r="O4" s="48"/>
      <c r="P4" s="48"/>
      <c r="Q4" s="49"/>
      <c r="R4" s="44" t="s">
        <v>1</v>
      </c>
    </row>
    <row r="5" spans="1:19" ht="18.75" x14ac:dyDescent="0.3">
      <c r="A5" s="41"/>
      <c r="B5" s="41"/>
      <c r="C5" s="44" t="s">
        <v>20</v>
      </c>
      <c r="D5" s="47" t="s">
        <v>0</v>
      </c>
      <c r="E5" s="48"/>
      <c r="F5" s="49"/>
      <c r="G5" s="44" t="s">
        <v>20</v>
      </c>
      <c r="H5" s="43" t="s">
        <v>0</v>
      </c>
      <c r="I5" s="43"/>
      <c r="J5" s="43"/>
      <c r="K5" s="43"/>
      <c r="L5" s="43"/>
      <c r="M5" s="45" t="s">
        <v>20</v>
      </c>
      <c r="N5" s="47" t="s">
        <v>0</v>
      </c>
      <c r="O5" s="48"/>
      <c r="P5" s="48"/>
      <c r="Q5" s="49"/>
      <c r="R5" s="45"/>
    </row>
    <row r="6" spans="1:19" ht="18.75" x14ac:dyDescent="0.3">
      <c r="A6" s="42"/>
      <c r="B6" s="42"/>
      <c r="C6" s="46"/>
      <c r="D6" s="14" t="s">
        <v>21</v>
      </c>
      <c r="E6" s="14" t="s">
        <v>22</v>
      </c>
      <c r="F6" s="14" t="s">
        <v>26</v>
      </c>
      <c r="G6" s="46"/>
      <c r="H6" s="34" t="s">
        <v>23</v>
      </c>
      <c r="I6" s="34" t="s">
        <v>24</v>
      </c>
      <c r="J6" s="34" t="s">
        <v>25</v>
      </c>
      <c r="K6" s="34" t="s">
        <v>32</v>
      </c>
      <c r="L6" s="34" t="s">
        <v>26</v>
      </c>
      <c r="M6" s="46"/>
      <c r="N6" s="14" t="s">
        <v>27</v>
      </c>
      <c r="O6" s="14" t="s">
        <v>28</v>
      </c>
      <c r="P6" s="14" t="s">
        <v>29</v>
      </c>
      <c r="Q6" s="14" t="s">
        <v>26</v>
      </c>
      <c r="R6" s="46"/>
    </row>
    <row r="7" spans="1:19" ht="18.75" x14ac:dyDescent="0.3">
      <c r="A7" s="28">
        <v>1</v>
      </c>
      <c r="B7" s="29" t="s">
        <v>30</v>
      </c>
      <c r="C7" s="30">
        <f>C8+C13+C16</f>
        <v>19959.364000000001</v>
      </c>
      <c r="D7" s="30">
        <f t="shared" ref="D7:Q7" si="0">D8+D13+D16</f>
        <v>19853.476999999999</v>
      </c>
      <c r="E7" s="30">
        <f t="shared" si="0"/>
        <v>105.887</v>
      </c>
      <c r="F7" s="30">
        <f t="shared" si="0"/>
        <v>0</v>
      </c>
      <c r="G7" s="30">
        <f t="shared" si="0"/>
        <v>145.89400000000003</v>
      </c>
      <c r="H7" s="30">
        <f t="shared" si="0"/>
        <v>83.707000000000008</v>
      </c>
      <c r="I7" s="30">
        <f t="shared" si="0"/>
        <v>60.153000000000006</v>
      </c>
      <c r="J7" s="30">
        <f t="shared" si="0"/>
        <v>2.0339999999999998</v>
      </c>
      <c r="K7" s="30">
        <f t="shared" si="0"/>
        <v>0</v>
      </c>
      <c r="L7" s="30">
        <f t="shared" si="0"/>
        <v>0</v>
      </c>
      <c r="M7" s="30">
        <f t="shared" si="0"/>
        <v>898.83500000000004</v>
      </c>
      <c r="N7" s="30">
        <f t="shared" si="0"/>
        <v>170.822</v>
      </c>
      <c r="O7" s="30">
        <f t="shared" si="0"/>
        <v>86.156999999999996</v>
      </c>
      <c r="P7" s="30">
        <f t="shared" si="0"/>
        <v>641.85599999999999</v>
      </c>
      <c r="Q7" s="30">
        <f t="shared" si="0"/>
        <v>0</v>
      </c>
      <c r="R7" s="30">
        <f>R8+R13+R16</f>
        <v>21004.093000000001</v>
      </c>
      <c r="S7" s="2"/>
    </row>
    <row r="8" spans="1:19" ht="18.75" x14ac:dyDescent="0.3">
      <c r="A8" s="28">
        <v>2</v>
      </c>
      <c r="B8" s="31" t="s">
        <v>38</v>
      </c>
      <c r="C8" s="30">
        <f>C9+C10+C11+C12</f>
        <v>13253.021999999999</v>
      </c>
      <c r="D8" s="30">
        <f t="shared" ref="D8:R8" si="1">D9+D10+D11+D12</f>
        <v>13227.727999999999</v>
      </c>
      <c r="E8" s="30">
        <f t="shared" si="1"/>
        <v>25.294</v>
      </c>
      <c r="F8" s="30">
        <f t="shared" si="1"/>
        <v>0</v>
      </c>
      <c r="G8" s="30">
        <f t="shared" si="1"/>
        <v>23.529</v>
      </c>
      <c r="H8" s="30">
        <f t="shared" si="1"/>
        <v>5.7890000000000006</v>
      </c>
      <c r="I8" s="30">
        <f t="shared" si="1"/>
        <v>17.739999999999998</v>
      </c>
      <c r="J8" s="30">
        <f t="shared" si="1"/>
        <v>0</v>
      </c>
      <c r="K8" s="30">
        <f t="shared" si="1"/>
        <v>0</v>
      </c>
      <c r="L8" s="30">
        <f t="shared" si="1"/>
        <v>0</v>
      </c>
      <c r="M8" s="30">
        <f t="shared" si="1"/>
        <v>275.85899999999998</v>
      </c>
      <c r="N8" s="30">
        <f t="shared" si="1"/>
        <v>54.851999999999997</v>
      </c>
      <c r="O8" s="30">
        <f t="shared" si="1"/>
        <v>9.6630000000000003</v>
      </c>
      <c r="P8" s="30">
        <f t="shared" si="1"/>
        <v>211.34399999999999</v>
      </c>
      <c r="Q8" s="30">
        <f t="shared" si="1"/>
        <v>0</v>
      </c>
      <c r="R8" s="30">
        <f t="shared" si="1"/>
        <v>13552.41</v>
      </c>
    </row>
    <row r="9" spans="1:19" ht="18.75" x14ac:dyDescent="0.3">
      <c r="A9" s="34"/>
      <c r="B9" s="8" t="s">
        <v>41</v>
      </c>
      <c r="C9" s="30">
        <f t="shared" ref="C9:C16" si="2">D9+E9+F9</f>
        <v>533.02499999999998</v>
      </c>
      <c r="D9" s="27">
        <f>1.533+243.142+53.943+234.407</f>
        <v>533.02499999999998</v>
      </c>
      <c r="E9" s="27"/>
      <c r="F9" s="27"/>
      <c r="G9" s="30">
        <f t="shared" ref="G9:G16" si="3">H9+I9+J9+K9+L9</f>
        <v>0</v>
      </c>
      <c r="H9" s="27"/>
      <c r="I9" s="27"/>
      <c r="J9" s="27"/>
      <c r="K9" s="27"/>
      <c r="L9" s="27"/>
      <c r="M9" s="30">
        <f t="shared" ref="M9:M16" si="4">N9+O9+P9+Q9</f>
        <v>17.759999999999998</v>
      </c>
      <c r="N9" s="27">
        <f>6.56</f>
        <v>6.56</v>
      </c>
      <c r="O9" s="27">
        <f>2.948</f>
        <v>2.948</v>
      </c>
      <c r="P9" s="27">
        <f>1.138+7.114</f>
        <v>8.2519999999999989</v>
      </c>
      <c r="Q9" s="27"/>
      <c r="R9" s="30">
        <f>C9+G9+M9</f>
        <v>550.78499999999997</v>
      </c>
    </row>
    <row r="10" spans="1:19" ht="18.75" x14ac:dyDescent="0.3">
      <c r="A10" s="34"/>
      <c r="B10" s="8" t="s">
        <v>33</v>
      </c>
      <c r="C10" s="30">
        <f t="shared" si="2"/>
        <v>2701.3009999999999</v>
      </c>
      <c r="D10" s="27">
        <f>331.941+0.196+1591.55+24.648+188.777+561.052</f>
        <v>2698.1639999999998</v>
      </c>
      <c r="E10" s="27">
        <f>3.137</f>
        <v>3.137</v>
      </c>
      <c r="F10" s="27"/>
      <c r="G10" s="30">
        <f t="shared" si="3"/>
        <v>0</v>
      </c>
      <c r="H10" s="27"/>
      <c r="I10" s="27"/>
      <c r="J10" s="27"/>
      <c r="K10" s="27"/>
      <c r="L10" s="27"/>
      <c r="M10" s="30">
        <f t="shared" si="4"/>
        <v>188.947</v>
      </c>
      <c r="N10" s="27">
        <f>28.566</f>
        <v>28.565999999999999</v>
      </c>
      <c r="O10" s="27">
        <f>4.434</f>
        <v>4.4340000000000002</v>
      </c>
      <c r="P10" s="27">
        <f>134.312+0.19+21.445</f>
        <v>155.947</v>
      </c>
      <c r="Q10" s="27"/>
      <c r="R10" s="30">
        <f>C10+G10+M10</f>
        <v>2890.248</v>
      </c>
    </row>
    <row r="11" spans="1:19" ht="18.75" x14ac:dyDescent="0.3">
      <c r="A11" s="34"/>
      <c r="B11" s="8" t="s">
        <v>34</v>
      </c>
      <c r="C11" s="30">
        <f t="shared" si="2"/>
        <v>7665.5539999999992</v>
      </c>
      <c r="D11" s="27">
        <f>11.52+972.541+512.979+2969.199+1303.142+23.277+389.869+1291.601+172.206</f>
        <v>7646.3339999999989</v>
      </c>
      <c r="E11" s="27">
        <f>6.164+13.056</f>
        <v>19.22</v>
      </c>
      <c r="F11" s="27"/>
      <c r="G11" s="30">
        <f t="shared" si="3"/>
        <v>23.529</v>
      </c>
      <c r="H11" s="27">
        <f>1.61+4.179</f>
        <v>5.7890000000000006</v>
      </c>
      <c r="I11" s="27">
        <f>17.74</f>
        <v>17.739999999999998</v>
      </c>
      <c r="J11" s="27"/>
      <c r="K11" s="27"/>
      <c r="L11" s="27"/>
      <c r="M11" s="30">
        <f t="shared" si="4"/>
        <v>69.151999999999987</v>
      </c>
      <c r="N11" s="27">
        <f>19.726</f>
        <v>19.725999999999999</v>
      </c>
      <c r="O11" s="27">
        <f>2.281</f>
        <v>2.2810000000000001</v>
      </c>
      <c r="P11" s="27">
        <f>37.233+9.912</f>
        <v>47.144999999999996</v>
      </c>
      <c r="Q11" s="27"/>
      <c r="R11" s="30">
        <f>C11+G11+M11</f>
        <v>7758.2349999999997</v>
      </c>
    </row>
    <row r="12" spans="1:19" ht="18.75" x14ac:dyDescent="0.3">
      <c r="A12" s="34"/>
      <c r="B12" s="8" t="s">
        <v>35</v>
      </c>
      <c r="C12" s="30">
        <f t="shared" si="2"/>
        <v>2353.1420000000003</v>
      </c>
      <c r="D12" s="27">
        <f>35.216+17.253+202.97+163.123+1510.405+4.143+45.93+94.662+276.503</f>
        <v>2350.2050000000004</v>
      </c>
      <c r="E12" s="27">
        <f>0.972+1.965</f>
        <v>2.9370000000000003</v>
      </c>
      <c r="F12" s="27"/>
      <c r="G12" s="30">
        <f t="shared" si="3"/>
        <v>0</v>
      </c>
      <c r="H12" s="27"/>
      <c r="I12" s="27"/>
      <c r="J12" s="27"/>
      <c r="K12" s="27"/>
      <c r="L12" s="27"/>
      <c r="M12" s="30">
        <f t="shared" si="4"/>
        <v>0</v>
      </c>
      <c r="N12" s="27"/>
      <c r="O12" s="27"/>
      <c r="P12" s="27"/>
      <c r="Q12" s="27"/>
      <c r="R12" s="30">
        <f>C12+G12+M12</f>
        <v>2353.1420000000003</v>
      </c>
    </row>
    <row r="13" spans="1:19" ht="18.75" x14ac:dyDescent="0.3">
      <c r="A13" s="28">
        <v>3</v>
      </c>
      <c r="B13" s="31" t="s">
        <v>39</v>
      </c>
      <c r="C13" s="30">
        <f>C14+C15</f>
        <v>6505.0920000000006</v>
      </c>
      <c r="D13" s="30">
        <f t="shared" ref="D13:R13" si="5">D14+D15</f>
        <v>6424.4989999999998</v>
      </c>
      <c r="E13" s="30">
        <f t="shared" si="5"/>
        <v>80.593000000000004</v>
      </c>
      <c r="F13" s="30">
        <f t="shared" si="5"/>
        <v>0</v>
      </c>
      <c r="G13" s="30">
        <f t="shared" si="5"/>
        <v>122.36500000000002</v>
      </c>
      <c r="H13" s="30">
        <f t="shared" si="5"/>
        <v>77.918000000000006</v>
      </c>
      <c r="I13" s="30">
        <f t="shared" si="5"/>
        <v>42.413000000000004</v>
      </c>
      <c r="J13" s="30">
        <f t="shared" si="5"/>
        <v>2.0339999999999998</v>
      </c>
      <c r="K13" s="30">
        <f t="shared" si="5"/>
        <v>0</v>
      </c>
      <c r="L13" s="30">
        <f t="shared" si="5"/>
        <v>0</v>
      </c>
      <c r="M13" s="30">
        <f t="shared" si="5"/>
        <v>622.976</v>
      </c>
      <c r="N13" s="30">
        <f t="shared" si="5"/>
        <v>115.97</v>
      </c>
      <c r="O13" s="30">
        <f t="shared" si="5"/>
        <v>76.494</v>
      </c>
      <c r="P13" s="30">
        <f t="shared" si="5"/>
        <v>430.512</v>
      </c>
      <c r="Q13" s="30">
        <f t="shared" si="5"/>
        <v>0</v>
      </c>
      <c r="R13" s="30">
        <f t="shared" si="5"/>
        <v>7250.4329999999991</v>
      </c>
    </row>
    <row r="14" spans="1:19" ht="18.75" x14ac:dyDescent="0.3">
      <c r="A14" s="34"/>
      <c r="B14" s="8" t="s">
        <v>40</v>
      </c>
      <c r="C14" s="30">
        <f>D14+E14+F14</f>
        <v>2372.3269999999998</v>
      </c>
      <c r="D14" s="27">
        <f>113.594+632.296+1399.458+226.979</f>
        <v>2372.3269999999998</v>
      </c>
      <c r="E14" s="27"/>
      <c r="F14" s="27"/>
      <c r="G14" s="30">
        <f>H14+I14+J14+K14+L14</f>
        <v>0</v>
      </c>
      <c r="H14" s="27"/>
      <c r="I14" s="27"/>
      <c r="J14" s="27"/>
      <c r="K14" s="27"/>
      <c r="L14" s="27"/>
      <c r="M14" s="30">
        <f>N14+O14+P14+Q14</f>
        <v>0</v>
      </c>
      <c r="N14" s="27"/>
      <c r="O14" s="27"/>
      <c r="P14" s="27"/>
      <c r="Q14" s="27"/>
      <c r="R14" s="30">
        <f>C14+G14+M14</f>
        <v>2372.3269999999998</v>
      </c>
    </row>
    <row r="15" spans="1:19" ht="18.75" x14ac:dyDescent="0.3">
      <c r="A15" s="34"/>
      <c r="B15" s="8" t="s">
        <v>31</v>
      </c>
      <c r="C15" s="30">
        <f>D15+E15+F15</f>
        <v>4132.7650000000003</v>
      </c>
      <c r="D15" s="27">
        <f>195.284+1338.808+2402.381+115.699</f>
        <v>4052.172</v>
      </c>
      <c r="E15" s="27">
        <f>31.054+49.539</f>
        <v>80.593000000000004</v>
      </c>
      <c r="F15" s="27"/>
      <c r="G15" s="30">
        <f>H15+I15+J15+K15+L15</f>
        <v>122.36500000000002</v>
      </c>
      <c r="H15" s="27">
        <f>4.107+68.991+4.82</f>
        <v>77.918000000000006</v>
      </c>
      <c r="I15" s="27">
        <f>8.963+33.45</f>
        <v>42.413000000000004</v>
      </c>
      <c r="J15" s="27">
        <f>2.034</f>
        <v>2.0339999999999998</v>
      </c>
      <c r="K15" s="27"/>
      <c r="L15" s="27"/>
      <c r="M15" s="30">
        <f>N15+O15+P15+Q15</f>
        <v>622.976</v>
      </c>
      <c r="N15" s="27">
        <f>32.979+76.603+6.388</f>
        <v>115.97</v>
      </c>
      <c r="O15" s="27">
        <f>2.009+53.705+20.78</f>
        <v>76.494</v>
      </c>
      <c r="P15" s="27">
        <f>17.572+118.932+293.929+36.079-36</f>
        <v>430.512</v>
      </c>
      <c r="Q15" s="27"/>
      <c r="R15" s="30">
        <f>C15+G15+M15</f>
        <v>4878.1059999999998</v>
      </c>
    </row>
    <row r="16" spans="1:19" ht="18.75" x14ac:dyDescent="0.3">
      <c r="A16" s="34">
        <v>4</v>
      </c>
      <c r="B16" s="7" t="s">
        <v>36</v>
      </c>
      <c r="C16" s="30">
        <f t="shared" si="2"/>
        <v>201.25</v>
      </c>
      <c r="D16" s="27">
        <f>201.25</f>
        <v>201.25</v>
      </c>
      <c r="E16" s="27"/>
      <c r="F16" s="27"/>
      <c r="G16" s="30">
        <f t="shared" si="3"/>
        <v>0</v>
      </c>
      <c r="H16" s="27"/>
      <c r="I16" s="27"/>
      <c r="J16" s="27"/>
      <c r="K16" s="27"/>
      <c r="L16" s="27"/>
      <c r="M16" s="30">
        <f t="shared" si="4"/>
        <v>0</v>
      </c>
      <c r="N16" s="27"/>
      <c r="O16" s="27"/>
      <c r="P16" s="27"/>
      <c r="Q16" s="27"/>
      <c r="R16" s="30">
        <f>C16+G16+M16</f>
        <v>201.25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2" spans="1:14" x14ac:dyDescent="0.25">
      <c r="C22" s="1"/>
    </row>
    <row r="23" spans="1:14" x14ac:dyDescent="0.25">
      <c r="C23" s="1"/>
    </row>
    <row r="24" spans="1:14" x14ac:dyDescent="0.25">
      <c r="C24" s="1"/>
    </row>
  </sheetData>
  <mergeCells count="15">
    <mergeCell ref="A1:R1"/>
    <mergeCell ref="A2:R2"/>
    <mergeCell ref="P3:R3"/>
    <mergeCell ref="A4:A6"/>
    <mergeCell ref="B4:B6"/>
    <mergeCell ref="C4:F4"/>
    <mergeCell ref="G4:L4"/>
    <mergeCell ref="M4:Q4"/>
    <mergeCell ref="R4:R6"/>
    <mergeCell ref="C5:C6"/>
    <mergeCell ref="D5:F5"/>
    <mergeCell ref="G5:G6"/>
    <mergeCell ref="H5:L5"/>
    <mergeCell ref="M5:M6"/>
    <mergeCell ref="N5:Q5"/>
  </mergeCells>
  <pageMargins left="0.78740157480314965" right="0.39370078740157483" top="0.98425196850393704" bottom="0.3937007874015748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сорт.структура РГК</vt:lpstr>
      <vt:lpstr>Освоєння РГК</vt:lpstr>
      <vt:lpstr>сорт.структура РПЗЛГ</vt:lpstr>
      <vt:lpstr>'Освоєння РГК'!Область_друку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2015-06-05T13:50:24Z</cp:lastPrinted>
  <dcterms:created xsi:type="dcterms:W3CDTF">2006-09-28T05:33:49Z</dcterms:created>
  <dcterms:modified xsi:type="dcterms:W3CDTF">2021-10-05T06:24:17Z</dcterms:modified>
</cp:coreProperties>
</file>