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55" activeTab="2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F11" i="2" l="1"/>
  <c r="E11" i="2"/>
  <c r="F9" i="2"/>
  <c r="E9" i="2"/>
  <c r="D11" i="5" l="1"/>
  <c r="D11" i="1"/>
  <c r="P15" i="1"/>
  <c r="O15" i="1"/>
  <c r="E15" i="1"/>
  <c r="N15" i="1"/>
  <c r="D15" i="1"/>
  <c r="H15" i="1"/>
  <c r="Q15" i="1"/>
  <c r="K15" i="1"/>
  <c r="I15" i="1"/>
  <c r="L15" i="1"/>
  <c r="E14" i="1"/>
  <c r="D14" i="1"/>
  <c r="N14" i="1"/>
  <c r="O14" i="1"/>
  <c r="P14" i="1"/>
  <c r="E11" i="1"/>
  <c r="N11" i="1"/>
  <c r="H11" i="1"/>
  <c r="O11" i="1"/>
  <c r="P11" i="1"/>
  <c r="E12" i="1"/>
  <c r="E10" i="1"/>
  <c r="D12" i="1"/>
  <c r="D10" i="1"/>
  <c r="D9" i="1"/>
  <c r="N10" i="1"/>
  <c r="N9" i="1"/>
  <c r="H12" i="1"/>
  <c r="O10" i="1"/>
  <c r="O9" i="1"/>
  <c r="P10" i="1"/>
  <c r="P9" i="1"/>
  <c r="J11" i="1"/>
  <c r="I11" i="1"/>
  <c r="D15" i="5"/>
  <c r="P15" i="5"/>
  <c r="E15" i="5"/>
  <c r="N15" i="5"/>
  <c r="O15" i="5"/>
  <c r="H15" i="5"/>
  <c r="I15" i="5"/>
  <c r="D14" i="5"/>
  <c r="D12" i="5"/>
  <c r="D10" i="5"/>
  <c r="D9" i="5"/>
  <c r="E12" i="5"/>
  <c r="E11" i="5"/>
  <c r="O16" i="1"/>
  <c r="I12" i="2" l="1"/>
  <c r="J12" i="2"/>
  <c r="H12" i="2"/>
  <c r="C16" i="1"/>
  <c r="C11" i="1"/>
  <c r="M16" i="1"/>
  <c r="J16" i="1"/>
  <c r="G16" i="1"/>
  <c r="M15" i="1"/>
  <c r="G15" i="1"/>
  <c r="G13" i="1" s="1"/>
  <c r="C15" i="1"/>
  <c r="M14" i="1"/>
  <c r="G14" i="1"/>
  <c r="C14" i="1"/>
  <c r="Q13" i="1"/>
  <c r="P13" i="1"/>
  <c r="O13" i="1"/>
  <c r="N13" i="1"/>
  <c r="L13" i="1"/>
  <c r="K13" i="1"/>
  <c r="J13" i="1"/>
  <c r="I13" i="1"/>
  <c r="H13" i="1"/>
  <c r="F13" i="1"/>
  <c r="E13" i="1"/>
  <c r="D13" i="1"/>
  <c r="M12" i="1"/>
  <c r="G12" i="1"/>
  <c r="C12" i="1"/>
  <c r="M11" i="1"/>
  <c r="G11" i="1"/>
  <c r="M10" i="1"/>
  <c r="G10" i="1"/>
  <c r="C10" i="1"/>
  <c r="M9" i="1"/>
  <c r="G9" i="1"/>
  <c r="C9" i="1"/>
  <c r="Q8" i="1"/>
  <c r="P8" i="1"/>
  <c r="O8" i="1"/>
  <c r="N8" i="1"/>
  <c r="L8" i="1"/>
  <c r="K8" i="1"/>
  <c r="J8" i="1"/>
  <c r="I8" i="1"/>
  <c r="H8" i="1"/>
  <c r="F8" i="1"/>
  <c r="E8" i="1"/>
  <c r="D8" i="1"/>
  <c r="K7" i="1"/>
  <c r="J7" i="1"/>
  <c r="F7" i="1"/>
  <c r="M16" i="5"/>
  <c r="G16" i="5"/>
  <c r="C16" i="5"/>
  <c r="R16" i="5" s="1"/>
  <c r="O13" i="5"/>
  <c r="M15" i="5"/>
  <c r="G15" i="5"/>
  <c r="E13" i="5"/>
  <c r="C15" i="5"/>
  <c r="M14" i="5"/>
  <c r="G14" i="5"/>
  <c r="C14" i="5"/>
  <c r="Q13" i="5"/>
  <c r="P13" i="5"/>
  <c r="N13" i="5"/>
  <c r="L13" i="5"/>
  <c r="K13" i="5"/>
  <c r="J13" i="5"/>
  <c r="I13" i="5"/>
  <c r="H13" i="5"/>
  <c r="F13" i="5"/>
  <c r="D13" i="5"/>
  <c r="M12" i="5"/>
  <c r="G12" i="5"/>
  <c r="C12" i="5"/>
  <c r="R12" i="5" s="1"/>
  <c r="M11" i="5"/>
  <c r="G11" i="5"/>
  <c r="C11" i="5"/>
  <c r="M10" i="5"/>
  <c r="G10" i="5"/>
  <c r="C10" i="5"/>
  <c r="M9" i="5"/>
  <c r="G9" i="5"/>
  <c r="C9" i="5"/>
  <c r="Q8" i="5"/>
  <c r="P8" i="5"/>
  <c r="O8" i="5"/>
  <c r="N8" i="5"/>
  <c r="L8" i="5"/>
  <c r="K8" i="5"/>
  <c r="J8" i="5"/>
  <c r="I8" i="5"/>
  <c r="H8" i="5"/>
  <c r="F8" i="5"/>
  <c r="E8" i="5"/>
  <c r="D8" i="5"/>
  <c r="Q7" i="5"/>
  <c r="L7" i="5"/>
  <c r="K7" i="5"/>
  <c r="J7" i="5"/>
  <c r="I7" i="5"/>
  <c r="H7" i="5"/>
  <c r="F7" i="5"/>
  <c r="G8" i="5" l="1"/>
  <c r="N7" i="5"/>
  <c r="G13" i="5"/>
  <c r="O7" i="5"/>
  <c r="I7" i="1"/>
  <c r="R11" i="5"/>
  <c r="L7" i="1"/>
  <c r="Q7" i="1"/>
  <c r="H7" i="1"/>
  <c r="E7" i="1"/>
  <c r="G7" i="5"/>
  <c r="O7" i="1"/>
  <c r="P7" i="1"/>
  <c r="N7" i="1"/>
  <c r="P7" i="5"/>
  <c r="M13" i="5"/>
  <c r="R10" i="5"/>
  <c r="M8" i="5"/>
  <c r="R15" i="5"/>
  <c r="D7" i="5"/>
  <c r="E7" i="5"/>
  <c r="R15" i="1"/>
  <c r="D7" i="1"/>
  <c r="R11" i="1"/>
  <c r="R16" i="1"/>
  <c r="R10" i="1"/>
  <c r="R9" i="1"/>
  <c r="C8" i="1"/>
  <c r="R14" i="1"/>
  <c r="C13" i="1"/>
  <c r="M8" i="1"/>
  <c r="G8" i="1"/>
  <c r="G7" i="1" s="1"/>
  <c r="R12" i="1"/>
  <c r="M13" i="1"/>
  <c r="C8" i="5"/>
  <c r="R9" i="5"/>
  <c r="R14" i="5"/>
  <c r="C13" i="5"/>
  <c r="R8" i="5" l="1"/>
  <c r="M7" i="5"/>
  <c r="R13" i="5"/>
  <c r="R13" i="1"/>
  <c r="C7" i="1"/>
  <c r="M7" i="1"/>
  <c r="R8" i="1"/>
  <c r="C7" i="5"/>
  <c r="R7" i="5" l="1"/>
  <c r="R7" i="1"/>
  <c r="D9" i="2" l="1"/>
  <c r="D10" i="2"/>
  <c r="D11" i="2"/>
  <c r="E12" i="2"/>
  <c r="F12" i="2"/>
  <c r="D12" i="2" l="1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<sst xmlns="http://schemas.openxmlformats.org/spreadsheetml/2006/main" count="101" uniqueCount="51">
  <si>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</si>
  <si>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</si>
  <si>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</si>
  <si>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</si>
  <si>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</si>
  <si>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</si>
  <si>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</si>
  <si>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</si>
  <si>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</si>
  <si>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</si>
  <si>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</si>
  <si>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</si>
  <si>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</si>
  <si>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</si>
  <si>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</si>
  <si>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</si>
  <si>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</si>
  <si>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</si>
  <si>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</si>
  <si>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</si>
  <si>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</si>
  <si>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</si>
  <si>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</si>
  <si>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</si>
  <si>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</si>
  <si>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</si>
  <si>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</si>
  <si>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</si>
  <si>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</si>
  <si>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</si>
  <si>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</si>
  <si>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</si>
  <si>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</si>
  <si>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</si>
  <si>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</si>
  <si>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</si>
  <si>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</si>
  <si>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</si>
  <si>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</si>
  <si>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</si>
  <si>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</si>
  <si>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</si>
  <si>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</si>
  <si>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</si>
  <si>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</si>
  <si>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</si>
  <si>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</si>
  <si>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</si>
  <si>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по рубкам формування і оздоровлення лісів за квітень 2021 року по ДП "Рафалівський лісгосп"</t>
  </si>
  <si>
    <t>за квітень 2021 року</t>
  </si>
  <si>
    <t>лісосічного фонду за квітень 2021 року по ДП "Рафалівський лісгосп"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</si>
</sst>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R7" sqref="R7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8249.4029999999984</v>
      </c>
      <c r="D7" s="33">
        <f t="shared" ref="D7:Q7" si="0">D8+D13+D16</f>
        <v>7304.1679999999988</v>
      </c>
      <c r="E7" s="33">
        <f t="shared" si="0"/>
        <v>945.23500000000001</v>
      </c>
      <c r="F7" s="33">
        <f t="shared" si="0"/>
        <v>0</v>
      </c>
      <c r="G7" s="33">
        <f t="shared" si="0"/>
        <v>1098.1959999999999</v>
      </c>
      <c r="H7" s="33">
        <f t="shared" si="0"/>
        <v>520.35700000000008</v>
      </c>
      <c r="I7" s="33">
        <f t="shared" si="0"/>
        <v>531.94200000000001</v>
      </c>
      <c r="J7" s="33">
        <f t="shared" si="0"/>
        <v>27.218</v>
      </c>
      <c r="K7" s="33">
        <f t="shared" si="0"/>
        <v>2.0129999999999999</v>
      </c>
      <c r="L7" s="33">
        <f t="shared" si="0"/>
        <v>16.666</v>
      </c>
      <c r="M7" s="33">
        <f t="shared" si="0"/>
        <v>5149.3669999999993</v>
      </c>
      <c r="N7" s="33">
        <f t="shared" si="0"/>
        <v>237.49499999999998</v>
      </c>
      <c r="O7" s="33">
        <f t="shared" si="0"/>
        <v>3554.0229999999997</v>
      </c>
      <c r="P7" s="33">
        <f t="shared" si="0"/>
        <v>1353.508</v>
      </c>
      <c r="Q7" s="33">
        <f t="shared" si="0"/>
        <v>4.3410000000000002</v>
      </c>
      <c r="R7" s="33">
        <f>R8+R13+R16</f>
        <v>14496.966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7245.7999999999993</v>
      </c>
      <c r="D8" s="33">
        <f>D9+D10+D11+D12</f>
        <v>6505.396999999999</v>
      </c>
      <c r="E8" s="33">
        <f t="shared" ref="E8:R8" si="1">E9+E10+E11+E12</f>
        <v>740.40300000000002</v>
      </c>
      <c r="F8" s="33">
        <f t="shared" si="1"/>
        <v>0</v>
      </c>
      <c r="G8" s="33">
        <f t="shared" si="1"/>
        <v>757.06399999999996</v>
      </c>
      <c r="H8" s="33">
        <f t="shared" si="1"/>
        <v>359.30500000000001</v>
      </c>
      <c r="I8" s="33">
        <f t="shared" si="1"/>
        <v>376.58100000000002</v>
      </c>
      <c r="J8" s="33">
        <f t="shared" si="1"/>
        <v>21.178000000000001</v>
      </c>
      <c r="K8" s="33">
        <f t="shared" si="1"/>
        <v>0</v>
      </c>
      <c r="L8" s="33">
        <f t="shared" si="1"/>
        <v>0</v>
      </c>
      <c r="M8" s="33">
        <f t="shared" si="1"/>
        <v>3262.8609999999999</v>
      </c>
      <c r="N8" s="33">
        <f t="shared" si="1"/>
        <v>122.416</v>
      </c>
      <c r="O8" s="33">
        <f t="shared" si="1"/>
        <v>2164.7539999999999</v>
      </c>
      <c r="P8" s="33">
        <f t="shared" si="1"/>
        <v>975.69100000000003</v>
      </c>
      <c r="Q8" s="33">
        <f t="shared" si="1"/>
        <v>0</v>
      </c>
      <c r="R8" s="33">
        <f t="shared" si="1"/>
        <v>11265.725</v>
      </c>
    </row>
    <row r="9" spans="1:19" ht="18.75" x14ac:dyDescent="0.3">
      <c r="A9" s="7"/>
      <c r="B9" s="9" t="s">
        <v>41</v>
      </c>
      <c r="C9" s="33">
        <f t="shared" ref="C9:C16" si="2">D9+E9+F9</f>
        <v>590.49599999999998</v>
      </c>
      <c r="D9" s="30">
        <f>372.272+218.224</f>
        <v>590.49599999999998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1195.646</v>
      </c>
      <c r="N9" s="30">
        <f>26.431</f>
        <v>26.431000000000001</v>
      </c>
      <c r="O9" s="30">
        <f>346.159+579.336</f>
        <v>925.495</v>
      </c>
      <c r="P9" s="30">
        <f>116.946+126.774</f>
        <v>243.72</v>
      </c>
      <c r="Q9" s="30">
        <v>0</v>
      </c>
      <c r="R9" s="33">
        <f>C9+G9+M9</f>
        <v>1786.1419999999998</v>
      </c>
    </row>
    <row r="10" spans="1:19" ht="18.75" x14ac:dyDescent="0.3">
      <c r="A10" s="7"/>
      <c r="B10" s="9" t="s">
        <v>33</v>
      </c>
      <c r="C10" s="33">
        <f t="shared" si="2"/>
        <v>1743.854</v>
      </c>
      <c r="D10" s="30">
        <f>1045.508+599.971</f>
        <v>1645.479</v>
      </c>
      <c r="E10" s="30">
        <f>88.445+9.93</f>
        <v>98.375</v>
      </c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1330.152</v>
      </c>
      <c r="N10" s="30">
        <f>13.58+55.839</f>
        <v>69.418999999999997</v>
      </c>
      <c r="O10" s="30">
        <f>321.197+538.489</f>
        <v>859.68600000000004</v>
      </c>
      <c r="P10" s="30">
        <f>241.465+159.582</f>
        <v>401.04700000000003</v>
      </c>
      <c r="Q10" s="30"/>
      <c r="R10" s="33">
        <f>C10+G10+M10</f>
        <v>3074.0060000000003</v>
      </c>
    </row>
    <row r="11" spans="1:19" ht="18.75" x14ac:dyDescent="0.3">
      <c r="A11" s="7"/>
      <c r="B11" s="9" t="s">
        <v>34</v>
      </c>
      <c r="C11" s="33">
        <f t="shared" si="2"/>
        <v>3971.7909999999997</v>
      </c>
      <c r="D11" s="30">
        <f>7.703+2451.923+480.84+1000.411+237.367-500-300</f>
        <v>3378.2439999999997</v>
      </c>
      <c r="E11" s="30">
        <f>355.462+77.472+98.553+62.06</f>
        <v>593.54700000000003</v>
      </c>
      <c r="F11" s="30"/>
      <c r="G11" s="33">
        <f t="shared" si="3"/>
        <v>647.85500000000002</v>
      </c>
      <c r="H11" s="30">
        <f>31.76+209.989+5.651+2.696</f>
        <v>250.096</v>
      </c>
      <c r="I11" s="30">
        <f>376.581</f>
        <v>376.58100000000002</v>
      </c>
      <c r="J11" s="30">
        <f>21.178</f>
        <v>21.178000000000001</v>
      </c>
      <c r="K11" s="30"/>
      <c r="L11" s="30"/>
      <c r="M11" s="33">
        <f t="shared" si="4"/>
        <v>737.06299999999987</v>
      </c>
      <c r="N11" s="30">
        <f>3.936+22.63</f>
        <v>26.565999999999999</v>
      </c>
      <c r="O11" s="30">
        <f>227.324+152.249</f>
        <v>379.57299999999998</v>
      </c>
      <c r="P11" s="30">
        <f>252.246+78.678</f>
        <v>330.92399999999998</v>
      </c>
      <c r="Q11" s="30"/>
      <c r="R11" s="33">
        <f>C11+G11+M11</f>
        <v>5356.7089999999998</v>
      </c>
    </row>
    <row r="12" spans="1:19" ht="18.75" x14ac:dyDescent="0.3">
      <c r="A12" s="7"/>
      <c r="B12" s="9" t="s">
        <v>35</v>
      </c>
      <c r="C12" s="33">
        <f t="shared" si="2"/>
        <v>939.65899999999988</v>
      </c>
      <c r="D12" s="30">
        <f>10.06+544.432+336.686</f>
        <v>891.17799999999988</v>
      </c>
      <c r="E12" s="30">
        <f>2.242+46.239</f>
        <v>48.480999999999995</v>
      </c>
      <c r="F12" s="30"/>
      <c r="G12" s="33">
        <f t="shared" si="3"/>
        <v>109.20899999999999</v>
      </c>
      <c r="H12" s="30">
        <f>104.63+4.579</f>
        <v>109.20899999999999</v>
      </c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1048.8679999999999</v>
      </c>
    </row>
    <row r="13" spans="1:19" ht="18.75" x14ac:dyDescent="0.3">
      <c r="A13" s="31">
        <v>3</v>
      </c>
      <c r="B13" s="34" t="s">
        <v>39</v>
      </c>
      <c r="C13" s="33">
        <f>C14+C15</f>
        <v>985.28300000000002</v>
      </c>
      <c r="D13" s="33">
        <f t="shared" ref="D13:R13" si="5">D14+D15</f>
        <v>791.77099999999996</v>
      </c>
      <c r="E13" s="33">
        <f t="shared" si="5"/>
        <v>193.512</v>
      </c>
      <c r="F13" s="33">
        <f t="shared" si="5"/>
        <v>0</v>
      </c>
      <c r="G13" s="33">
        <f t="shared" si="5"/>
        <v>326.51199999999994</v>
      </c>
      <c r="H13" s="33">
        <f t="shared" si="5"/>
        <v>152.47200000000001</v>
      </c>
      <c r="I13" s="33">
        <f t="shared" si="5"/>
        <v>155.36099999999999</v>
      </c>
      <c r="J13" s="33">
        <f t="shared" si="5"/>
        <v>0</v>
      </c>
      <c r="K13" s="33">
        <f t="shared" si="5"/>
        <v>2.0129999999999999</v>
      </c>
      <c r="L13" s="33">
        <f t="shared" si="5"/>
        <v>16.666</v>
      </c>
      <c r="M13" s="33">
        <f t="shared" si="5"/>
        <v>1421.7559999999996</v>
      </c>
      <c r="N13" s="33">
        <f t="shared" si="5"/>
        <v>105.419</v>
      </c>
      <c r="O13" s="33">
        <f t="shared" si="5"/>
        <v>951.37899999999991</v>
      </c>
      <c r="P13" s="33">
        <f t="shared" si="5"/>
        <v>360.61700000000002</v>
      </c>
      <c r="Q13" s="33">
        <f t="shared" si="5"/>
        <v>4.3410000000000002</v>
      </c>
      <c r="R13" s="33">
        <f t="shared" si="5"/>
        <v>2733.5509999999999</v>
      </c>
    </row>
    <row r="14" spans="1:19" ht="18.75" x14ac:dyDescent="0.3">
      <c r="A14" s="7"/>
      <c r="B14" s="9" t="s">
        <v>40</v>
      </c>
      <c r="C14" s="33">
        <f>D14+E14+F14</f>
        <v>500.26800000000003</v>
      </c>
      <c r="D14" s="30">
        <f>11.599+437.038</f>
        <v>448.637</v>
      </c>
      <c r="E14" s="30">
        <f>13.845+37.786</f>
        <v>51.631</v>
      </c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66.897999999999996</v>
      </c>
      <c r="N14" s="30">
        <f>1.23+10.01</f>
        <v>11.24</v>
      </c>
      <c r="O14" s="30">
        <f>7.41+38.608</f>
        <v>46.018000000000001</v>
      </c>
      <c r="P14" s="30">
        <f>9.64</f>
        <v>9.64</v>
      </c>
      <c r="Q14" s="30"/>
      <c r="R14" s="33">
        <f>C14+G14+M14</f>
        <v>567.16600000000005</v>
      </c>
    </row>
    <row r="15" spans="1:19" ht="18.75" x14ac:dyDescent="0.3">
      <c r="A15" s="7"/>
      <c r="B15" s="9" t="s">
        <v>31</v>
      </c>
      <c r="C15" s="33">
        <f>D15+E15+F15</f>
        <v>485.01499999999999</v>
      </c>
      <c r="D15" s="30">
        <f>299.276+43.858</f>
        <v>343.13400000000001</v>
      </c>
      <c r="E15" s="30">
        <f>3.5+97.698+6.433+34.25</f>
        <v>141.881</v>
      </c>
      <c r="F15" s="30"/>
      <c r="G15" s="33">
        <f>H15+I15+J15+K15+L15</f>
        <v>326.51199999999994</v>
      </c>
      <c r="H15" s="30">
        <f>151.358+1.114</f>
        <v>152.47200000000001</v>
      </c>
      <c r="I15" s="30">
        <f>155.361</f>
        <v>155.36099999999999</v>
      </c>
      <c r="J15" s="30"/>
      <c r="K15" s="30">
        <f>2.013</f>
        <v>2.0129999999999999</v>
      </c>
      <c r="L15" s="30">
        <f>16.666</f>
        <v>16.666</v>
      </c>
      <c r="M15" s="33">
        <f>N15+O15+P15+Q15</f>
        <v>1354.8579999999997</v>
      </c>
      <c r="N15" s="30">
        <f>12+72.649+9.53</f>
        <v>94.179000000000002</v>
      </c>
      <c r="O15" s="30">
        <f>68+107.5+442.916+0.228+344.717-58</f>
        <v>905.36099999999988</v>
      </c>
      <c r="P15" s="30">
        <f>12+7.7+355.557+74.709+1.011-100</f>
        <v>350.97700000000003</v>
      </c>
      <c r="Q15" s="30">
        <f>4.341</f>
        <v>4.3410000000000002</v>
      </c>
      <c r="R15" s="33">
        <f>C15+G15+M15</f>
        <v>2166.3849999999998</v>
      </c>
    </row>
    <row r="16" spans="1:19" ht="18.75" x14ac:dyDescent="0.3">
      <c r="A16" s="7">
        <v>4</v>
      </c>
      <c r="B16" s="8" t="s">
        <v>36</v>
      </c>
      <c r="C16" s="33">
        <f t="shared" si="2"/>
        <v>18.32</v>
      </c>
      <c r="D16" s="30">
        <v>7</v>
      </c>
      <c r="E16" s="30">
        <v>11.32</v>
      </c>
      <c r="F16" s="30"/>
      <c r="G16" s="33">
        <f t="shared" si="3"/>
        <v>14.620000000000001</v>
      </c>
      <c r="H16" s="30">
        <v>8.58</v>
      </c>
      <c r="I16" s="30"/>
      <c r="J16" s="30">
        <f>6.04</f>
        <v>6.04</v>
      </c>
      <c r="K16" s="30"/>
      <c r="L16" s="30"/>
      <c r="M16" s="33">
        <f t="shared" si="4"/>
        <v>464.75</v>
      </c>
      <c r="N16" s="30">
        <v>9.66</v>
      </c>
      <c r="O16" s="30">
        <f>391.89+46</f>
        <v>437.89</v>
      </c>
      <c r="P16" s="30">
        <v>17.2</v>
      </c>
      <c r="Q16" s="30"/>
      <c r="R16" s="33">
        <f>C16+G16+M16</f>
        <v>497.69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5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zoomScaleNormal="100" zoomScaleSheetLayoutView="100" workbookViewId="0">
      <selection activeCell="G12" sqref="G12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2" t="s">
        <v>11</v>
      </c>
      <c r="F8" s="12" t="s">
        <v>2</v>
      </c>
      <c r="G8" s="60"/>
      <c r="H8" s="12" t="s">
        <v>11</v>
      </c>
      <c r="I8" s="12" t="s">
        <v>2</v>
      </c>
      <c r="J8" s="10" t="s">
        <v>13</v>
      </c>
      <c r="K8" s="60"/>
      <c r="L8" s="12" t="s">
        <v>11</v>
      </c>
      <c r="M8" s="12" t="s">
        <v>2</v>
      </c>
    </row>
    <row r="9" spans="1:13" ht="20.100000000000001" customHeight="1" thickBot="1" x14ac:dyDescent="0.3">
      <c r="A9" s="25" t="s">
        <v>44</v>
      </c>
      <c r="B9" s="18">
        <v>59500</v>
      </c>
      <c r="C9" s="18">
        <v>95.9</v>
      </c>
      <c r="D9" s="18">
        <f>E9+F9</f>
        <v>13230</v>
      </c>
      <c r="E9" s="18">
        <f>232+304+182+678+219+309+325+226+207+52+158+382+289+350+219+547+436+431+296+590+430+155+396+4+117+231</f>
        <v>7765</v>
      </c>
      <c r="F9" s="18">
        <f>128+326+21+454+25+363+20+125+7+212+12+244+18+246+18+171+15+35+2+173+9+219+16+272+28+246+18+70+84+7+14+297+16+108+15+162+11+448+191+170+102+15+63+2+31+3+224+9</f>
        <v>5465</v>
      </c>
      <c r="G9" s="17">
        <f>H9+I9+J9</f>
        <v>8249</v>
      </c>
      <c r="H9" s="17">
        <v>7246</v>
      </c>
      <c r="I9" s="17">
        <v>985</v>
      </c>
      <c r="J9" s="18">
        <v>18</v>
      </c>
      <c r="K9" s="18">
        <f>D9-G9</f>
        <v>4981</v>
      </c>
      <c r="L9" s="17">
        <f>E9-H9</f>
        <v>519</v>
      </c>
      <c r="M9" s="19">
        <f>F9-I9</f>
        <v>4480</v>
      </c>
    </row>
    <row r="10" spans="1:13" ht="20.100000000000001" customHeight="1" thickBot="1" x14ac:dyDescent="0.3">
      <c r="A10" s="20" t="s">
        <v>45</v>
      </c>
      <c r="B10" s="14">
        <v>1940</v>
      </c>
      <c r="C10" s="14">
        <f>0.8+3</f>
        <v>3.8</v>
      </c>
      <c r="D10" s="14">
        <f>E10+F10</f>
        <v>0</v>
      </c>
      <c r="E10" s="14">
        <v>0</v>
      </c>
      <c r="F10" s="14">
        <v>0</v>
      </c>
      <c r="G10" s="13">
        <f>H10+I10+J10</f>
        <v>1098</v>
      </c>
      <c r="H10" s="13">
        <v>757</v>
      </c>
      <c r="I10" s="13">
        <v>326</v>
      </c>
      <c r="J10" s="13">
        <v>15</v>
      </c>
      <c r="K10" s="18">
        <f t="shared" ref="K10:K11" si="0">D10-G10</f>
        <v>-1098</v>
      </c>
      <c r="L10" s="13">
        <f>E10-H10</f>
        <v>-757</v>
      </c>
      <c r="M10" s="21">
        <f>F10-I10</f>
        <v>-326</v>
      </c>
    </row>
    <row r="11" spans="1:13" ht="20.100000000000001" customHeight="1" thickBot="1" x14ac:dyDescent="0.3">
      <c r="A11" s="26" t="s">
        <v>46</v>
      </c>
      <c r="B11" s="23">
        <v>30540</v>
      </c>
      <c r="C11" s="23">
        <v>57</v>
      </c>
      <c r="D11" s="14">
        <f>E11+F11</f>
        <v>8372</v>
      </c>
      <c r="E11" s="23">
        <f>163+199+337+84+118+92+111+110+152+439+66+397+354+170+129+82</f>
        <v>3003</v>
      </c>
      <c r="F11" s="23">
        <f>309+18+330+26+316+29+99+9+481+31+456+24+308+27+358+19+384+23+442+54+149+9+511+45+303+38+303+25+147+17+73+6</f>
        <v>5369</v>
      </c>
      <c r="G11" s="22">
        <f>H11+I11+J11</f>
        <v>5150</v>
      </c>
      <c r="H11" s="22">
        <v>3263</v>
      </c>
      <c r="I11" s="22">
        <v>1422</v>
      </c>
      <c r="J11" s="23">
        <v>465</v>
      </c>
      <c r="K11" s="18">
        <f t="shared" si="0"/>
        <v>3222</v>
      </c>
      <c r="L11" s="22">
        <f>E11-H11</f>
        <v>-260</v>
      </c>
      <c r="M11" s="24">
        <f>E11-H11</f>
        <v>-260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21602</v>
      </c>
      <c r="E12" s="4">
        <f>SUM(E9:E11)</f>
        <v>10768</v>
      </c>
      <c r="F12" s="11">
        <f>SUM(F9:F11)</f>
        <v>10834</v>
      </c>
      <c r="G12" s="16">
        <f>SUM(G9:G11)</f>
        <v>14497</v>
      </c>
      <c r="H12" s="16">
        <f>SUM(H9:H11)</f>
        <v>11266</v>
      </c>
      <c r="I12" s="16">
        <f t="shared" ref="I12:J12" si="2">SUM(I9:I11)</f>
        <v>2733</v>
      </c>
      <c r="J12" s="16">
        <f t="shared" si="2"/>
        <v>498</v>
      </c>
      <c r="K12" s="16">
        <f>SUM(K9:K11)</f>
        <v>7105</v>
      </c>
      <c r="L12" s="16">
        <f>SUM(L9:L11)</f>
        <v>-498</v>
      </c>
      <c r="M12" s="16">
        <f>SUM(M9:M11)</f>
        <v>3894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tabSelected="1" zoomScaleNormal="100" zoomScaleSheetLayoutView="85" workbookViewId="0">
      <selection activeCell="A2" sqref="A2:R2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5495.5380000000005</v>
      </c>
      <c r="D7" s="33">
        <f t="shared" ref="D7:Q7" si="0">D8+D13+D16</f>
        <v>5431.9270000000006</v>
      </c>
      <c r="E7" s="33">
        <f t="shared" si="0"/>
        <v>63.611000000000004</v>
      </c>
      <c r="F7" s="33">
        <f t="shared" si="0"/>
        <v>0</v>
      </c>
      <c r="G7" s="33">
        <f t="shared" si="0"/>
        <v>12.373999999999999</v>
      </c>
      <c r="H7" s="33">
        <f t="shared" si="0"/>
        <v>9.0259999999999998</v>
      </c>
      <c r="I7" s="33">
        <f t="shared" si="0"/>
        <v>3.3479999999999999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127.417</v>
      </c>
      <c r="N7" s="33">
        <f t="shared" si="0"/>
        <v>26.125</v>
      </c>
      <c r="O7" s="33">
        <f t="shared" si="0"/>
        <v>30.349</v>
      </c>
      <c r="P7" s="33">
        <f t="shared" si="0"/>
        <v>70.943000000000012</v>
      </c>
      <c r="Q7" s="33">
        <f t="shared" si="0"/>
        <v>0</v>
      </c>
      <c r="R7" s="33">
        <f>R8+R13+R16</f>
        <v>5635.3290000000006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3789.2449999999999</v>
      </c>
      <c r="D8" s="33">
        <f t="shared" ref="D8:R8" si="1">D9+D10+D11+D12</f>
        <v>3774.2240000000002</v>
      </c>
      <c r="E8" s="33">
        <f t="shared" si="1"/>
        <v>15.020999999999999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4.3230000000000004</v>
      </c>
      <c r="N8" s="33">
        <f t="shared" si="1"/>
        <v>0</v>
      </c>
      <c r="O8" s="33">
        <f t="shared" si="1"/>
        <v>0</v>
      </c>
      <c r="P8" s="33">
        <f t="shared" si="1"/>
        <v>4.3230000000000004</v>
      </c>
      <c r="Q8" s="33">
        <f t="shared" si="1"/>
        <v>0</v>
      </c>
      <c r="R8" s="33">
        <f t="shared" si="1"/>
        <v>3793.5680000000002</v>
      </c>
    </row>
    <row r="9" spans="1:19" ht="18.75" x14ac:dyDescent="0.3">
      <c r="A9" s="7"/>
      <c r="B9" s="9" t="s">
        <v>41</v>
      </c>
      <c r="C9" s="33">
        <f t="shared" ref="C9:C16" si="2">D9+E9+F9</f>
        <v>72.554000000000002</v>
      </c>
      <c r="D9" s="30">
        <f>4.755+10.234+57.565</f>
        <v>72.554000000000002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1.974</v>
      </c>
      <c r="N9" s="30"/>
      <c r="O9" s="30"/>
      <c r="P9" s="30">
        <v>1.974</v>
      </c>
      <c r="Q9" s="30"/>
      <c r="R9" s="33">
        <f>C9+G9+M9</f>
        <v>74.528000000000006</v>
      </c>
    </row>
    <row r="10" spans="1:19" ht="18.75" x14ac:dyDescent="0.3">
      <c r="A10" s="7"/>
      <c r="B10" s="9" t="s">
        <v>33</v>
      </c>
      <c r="C10" s="33">
        <f t="shared" si="2"/>
        <v>289.87599999999998</v>
      </c>
      <c r="D10" s="30">
        <f>46.653+132.619+21.495+89.109</f>
        <v>289.87599999999998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2.3490000000000002</v>
      </c>
      <c r="N10" s="30"/>
      <c r="O10" s="30"/>
      <c r="P10" s="30">
        <v>2.3490000000000002</v>
      </c>
      <c r="Q10" s="30"/>
      <c r="R10" s="33">
        <f>C10+G10+M10</f>
        <v>292.22499999999997</v>
      </c>
    </row>
    <row r="11" spans="1:19" ht="18.75" x14ac:dyDescent="0.3">
      <c r="A11" s="7"/>
      <c r="B11" s="9" t="s">
        <v>34</v>
      </c>
      <c r="C11" s="33">
        <f t="shared" si="2"/>
        <v>2239.1030000000001</v>
      </c>
      <c r="D11" s="30">
        <f>299.863+231.481+613.975+670.214+66.43+7.115+414.905+57.064+27-162</f>
        <v>2226.047</v>
      </c>
      <c r="E11" s="30">
        <f>13.056</f>
        <v>13.055999999999999</v>
      </c>
      <c r="F11" s="30"/>
      <c r="G11" s="33">
        <f t="shared" si="3"/>
        <v>0</v>
      </c>
      <c r="H11" s="30"/>
      <c r="I11" s="30"/>
      <c r="J11" s="30"/>
      <c r="K11" s="30"/>
      <c r="L11" s="30"/>
      <c r="M11" s="33">
        <f t="shared" si="4"/>
        <v>0</v>
      </c>
      <c r="N11" s="30"/>
      <c r="O11" s="30"/>
      <c r="P11" s="30"/>
      <c r="Q11" s="30"/>
      <c r="R11" s="33">
        <f>C11+G11+M11</f>
        <v>2239.1030000000001</v>
      </c>
    </row>
    <row r="12" spans="1:19" ht="18.75" x14ac:dyDescent="0.3">
      <c r="A12" s="7"/>
      <c r="B12" s="9" t="s">
        <v>35</v>
      </c>
      <c r="C12" s="33">
        <f t="shared" si="2"/>
        <v>1187.712</v>
      </c>
      <c r="D12" s="30">
        <f>8.168+183.757+111.972+799.882+24.434+57.534</f>
        <v>1185.7470000000001</v>
      </c>
      <c r="E12" s="30">
        <f>1.965</f>
        <v>1.9650000000000001</v>
      </c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1187.712</v>
      </c>
    </row>
    <row r="13" spans="1:19" ht="18.75" x14ac:dyDescent="0.3">
      <c r="A13" s="31">
        <v>3</v>
      </c>
      <c r="B13" s="34" t="s">
        <v>39</v>
      </c>
      <c r="C13" s="33">
        <f>C14+C15</f>
        <v>1611.193</v>
      </c>
      <c r="D13" s="33">
        <f t="shared" ref="D13:R13" si="5">D14+D15</f>
        <v>1562.6030000000001</v>
      </c>
      <c r="E13" s="33">
        <f t="shared" si="5"/>
        <v>48.59</v>
      </c>
      <c r="F13" s="33">
        <f t="shared" si="5"/>
        <v>0</v>
      </c>
      <c r="G13" s="33">
        <f t="shared" si="5"/>
        <v>12.373999999999999</v>
      </c>
      <c r="H13" s="33">
        <f t="shared" si="5"/>
        <v>9.0259999999999998</v>
      </c>
      <c r="I13" s="33">
        <f t="shared" si="5"/>
        <v>3.3479999999999999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123.09400000000001</v>
      </c>
      <c r="N13" s="33">
        <f t="shared" si="5"/>
        <v>26.125</v>
      </c>
      <c r="O13" s="33">
        <f t="shared" si="5"/>
        <v>30.349</v>
      </c>
      <c r="P13" s="33">
        <f t="shared" si="5"/>
        <v>66.62</v>
      </c>
      <c r="Q13" s="33">
        <f t="shared" si="5"/>
        <v>0</v>
      </c>
      <c r="R13" s="33">
        <f t="shared" si="5"/>
        <v>1746.6610000000001</v>
      </c>
    </row>
    <row r="14" spans="1:19" ht="18.75" x14ac:dyDescent="0.3">
      <c r="A14" s="7"/>
      <c r="B14" s="9" t="s">
        <v>40</v>
      </c>
      <c r="C14" s="33">
        <f>D14+E14+F14</f>
        <v>410.22999999999996</v>
      </c>
      <c r="D14" s="30">
        <f>13.37+21.167+105.067+270.626</f>
        <v>410.22999999999996</v>
      </c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410.22999999999996</v>
      </c>
    </row>
    <row r="15" spans="1:19" ht="18.75" x14ac:dyDescent="0.3">
      <c r="A15" s="7"/>
      <c r="B15" s="9" t="s">
        <v>31</v>
      </c>
      <c r="C15" s="33">
        <f>D15+E15+F15</f>
        <v>1200.963</v>
      </c>
      <c r="D15" s="30">
        <f>349.204+758.718+22.432+22.019</f>
        <v>1152.373</v>
      </c>
      <c r="E15" s="30">
        <f>12.569+36.021</f>
        <v>48.59</v>
      </c>
      <c r="F15" s="30"/>
      <c r="G15" s="33">
        <f>H15+I15+J15+K15+L15</f>
        <v>12.373999999999999</v>
      </c>
      <c r="H15" s="30">
        <f>1.996+7.03</f>
        <v>9.0259999999999998</v>
      </c>
      <c r="I15" s="30">
        <f>3.348</f>
        <v>3.3479999999999999</v>
      </c>
      <c r="J15" s="30"/>
      <c r="K15" s="30"/>
      <c r="L15" s="30"/>
      <c r="M15" s="33">
        <f>N15+O15+P15+Q15</f>
        <v>123.09400000000001</v>
      </c>
      <c r="N15" s="30">
        <f>3.088+23.037</f>
        <v>26.125</v>
      </c>
      <c r="O15" s="30">
        <f>30.349</f>
        <v>30.349</v>
      </c>
      <c r="P15" s="30">
        <f>16.894+47.009+2.717</f>
        <v>66.62</v>
      </c>
      <c r="Q15" s="30"/>
      <c r="R15" s="33">
        <f>C15+G15+M15</f>
        <v>1336.431</v>
      </c>
    </row>
    <row r="16" spans="1:19" ht="18.75" x14ac:dyDescent="0.3">
      <c r="A16" s="7">
        <v>4</v>
      </c>
      <c r="B16" s="8" t="s">
        <v>36</v>
      </c>
      <c r="C16" s="33">
        <f t="shared" si="2"/>
        <v>95.1</v>
      </c>
      <c r="D16" s="30">
        <v>95.1</v>
      </c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0</v>
      </c>
      <c r="N16" s="30"/>
      <c r="O16" s="30"/>
      <c r="P16" s="30"/>
      <c r="Q16" s="30"/>
      <c r="R16" s="33">
        <f>C16+G16+M16</f>
        <v>95.1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2021-05-06T08:07:41Z</dcterms:modified>
</cp:coreProperties>
</file>