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55"/>
  </bookViews>
  <sheets>
    <sheet name="сорт.структура РГК" sheetId="1" r:id="rId1"/>
    <sheet name="Освоєння РГК" sheetId="2" r:id="rId2"/>
    <sheet name="сорт.структура РПЗЛГ" sheetId="5" r:id="rId3"/>
  </sheets>
  <definedNames>
    <definedName name="_xlnm.Print_Area" localSheetId="1">'Освоєння РГК'!$A$1:$M$12</definedName>
    <definedName name="_xlnm.Print_Area" localSheetId="0">'сорт.структура РГК'!#REF!</definedName>
    <definedName name="_xlnm.Print_Area" localSheetId="2">'сорт.структура РПЗЛГ'!#REF!</definedName>
  </definedNames>
  <calcPr calcId="162913"/>
</workbook>
</file>

<file path=xl/calcChain.xml><?xml version="1.0" encoding="utf-8"?>
<calcChain xmlns="http://schemas.openxmlformats.org/spreadsheetml/2006/main">
  <c r="O7" i="1" l="1"/>
  <c r="F9" i="2" l="1"/>
  <c r="E9" i="2"/>
  <c r="F11" i="2"/>
  <c r="E11" i="2"/>
  <c r="D12" i="5" l="1"/>
  <c r="D11" i="5"/>
  <c r="D10" i="5"/>
  <c r="E12" i="5"/>
  <c r="D9" i="5"/>
  <c r="D14" i="5"/>
  <c r="D15" i="5"/>
  <c r="P15" i="5"/>
  <c r="D11" i="1"/>
  <c r="D10" i="1"/>
  <c r="D9" i="1"/>
  <c r="N10" i="1"/>
  <c r="N9" i="1"/>
  <c r="O10" i="1"/>
  <c r="O9" i="1"/>
  <c r="P10" i="1"/>
  <c r="P9" i="1"/>
  <c r="J11" i="1"/>
  <c r="N11" i="1"/>
  <c r="H11" i="1"/>
  <c r="I11" i="1"/>
  <c r="O11" i="1"/>
  <c r="P11" i="1"/>
  <c r="E12" i="1"/>
  <c r="E11" i="1"/>
  <c r="D12" i="1"/>
  <c r="H12" i="1"/>
  <c r="E15" i="1"/>
  <c r="N15" i="1"/>
  <c r="Q15" i="1"/>
  <c r="D15" i="1"/>
  <c r="O15" i="1"/>
  <c r="H15" i="1"/>
  <c r="I15" i="1"/>
  <c r="P15" i="1"/>
  <c r="E16" i="1"/>
  <c r="D16" i="1"/>
  <c r="N16" i="1"/>
  <c r="O16" i="1"/>
  <c r="P16" i="1"/>
  <c r="D16" i="5"/>
  <c r="P10" i="5" l="1"/>
  <c r="P9" i="5"/>
  <c r="K15" i="1"/>
  <c r="C16" i="1" l="1"/>
  <c r="M16" i="1" l="1"/>
  <c r="G16" i="1"/>
  <c r="O13" i="1"/>
  <c r="M15" i="1"/>
  <c r="I13" i="1"/>
  <c r="E13" i="1"/>
  <c r="M14" i="1"/>
  <c r="G14" i="1"/>
  <c r="C14" i="1"/>
  <c r="Q13" i="1"/>
  <c r="P13" i="1"/>
  <c r="L13" i="1"/>
  <c r="K13" i="1"/>
  <c r="J13" i="1"/>
  <c r="H13" i="1"/>
  <c r="F13" i="1"/>
  <c r="D13" i="1"/>
  <c r="M12" i="1"/>
  <c r="G12" i="1"/>
  <c r="C12" i="1"/>
  <c r="R12" i="1" s="1"/>
  <c r="M11" i="1"/>
  <c r="G11" i="1"/>
  <c r="C11" i="1"/>
  <c r="M10" i="1"/>
  <c r="G10" i="1"/>
  <c r="G9" i="1"/>
  <c r="C9" i="1"/>
  <c r="Q8" i="1"/>
  <c r="P8" i="1"/>
  <c r="N8" i="1"/>
  <c r="L8" i="1"/>
  <c r="K8" i="1"/>
  <c r="J8" i="1"/>
  <c r="I8" i="1"/>
  <c r="H8" i="1"/>
  <c r="F8" i="1"/>
  <c r="F7" i="1" s="1"/>
  <c r="M16" i="5"/>
  <c r="G16" i="5"/>
  <c r="C16" i="5"/>
  <c r="G15" i="5"/>
  <c r="E13" i="5"/>
  <c r="C15" i="5"/>
  <c r="M14" i="5"/>
  <c r="G14" i="5"/>
  <c r="C14" i="5"/>
  <c r="Q13" i="5"/>
  <c r="P13" i="5"/>
  <c r="O13" i="5"/>
  <c r="L13" i="5"/>
  <c r="K13" i="5"/>
  <c r="J13" i="5"/>
  <c r="I13" i="5"/>
  <c r="H13" i="5"/>
  <c r="G13" i="5"/>
  <c r="F13" i="5"/>
  <c r="F7" i="5" s="1"/>
  <c r="D13" i="5"/>
  <c r="M12" i="5"/>
  <c r="G12" i="5"/>
  <c r="M11" i="5"/>
  <c r="G11" i="5"/>
  <c r="C11" i="5"/>
  <c r="R11" i="5" s="1"/>
  <c r="M10" i="5"/>
  <c r="G10" i="5"/>
  <c r="C10" i="5"/>
  <c r="M9" i="5"/>
  <c r="G9" i="5"/>
  <c r="C9" i="5"/>
  <c r="Q8" i="5"/>
  <c r="O8" i="5"/>
  <c r="N8" i="5"/>
  <c r="L8" i="5"/>
  <c r="K8" i="5"/>
  <c r="J8" i="5"/>
  <c r="I8" i="5"/>
  <c r="H8" i="5"/>
  <c r="F8" i="5"/>
  <c r="J7" i="5"/>
  <c r="J7" i="1" l="1"/>
  <c r="L7" i="1"/>
  <c r="K7" i="1"/>
  <c r="R9" i="5"/>
  <c r="H7" i="1"/>
  <c r="I7" i="1"/>
  <c r="Q7" i="1"/>
  <c r="P7" i="1"/>
  <c r="G8" i="1"/>
  <c r="R11" i="1"/>
  <c r="H7" i="5"/>
  <c r="L7" i="5"/>
  <c r="G8" i="5"/>
  <c r="G7" i="5" s="1"/>
  <c r="I7" i="5"/>
  <c r="K7" i="5"/>
  <c r="Q7" i="5"/>
  <c r="O7" i="5"/>
  <c r="R16" i="5"/>
  <c r="R14" i="5"/>
  <c r="C13" i="5"/>
  <c r="M13" i="1"/>
  <c r="D8" i="5"/>
  <c r="D7" i="5" s="1"/>
  <c r="M8" i="5"/>
  <c r="E8" i="5"/>
  <c r="E7" i="5" s="1"/>
  <c r="C12" i="5"/>
  <c r="R12" i="5" s="1"/>
  <c r="M15" i="5"/>
  <c r="R15" i="5" s="1"/>
  <c r="M9" i="1"/>
  <c r="R9" i="1" s="1"/>
  <c r="C10" i="1"/>
  <c r="C8" i="1" s="1"/>
  <c r="E8" i="1"/>
  <c r="E7" i="1" s="1"/>
  <c r="N13" i="1"/>
  <c r="N7" i="1" s="1"/>
  <c r="G15" i="1"/>
  <c r="G13" i="1" s="1"/>
  <c r="R16" i="1"/>
  <c r="R14" i="1"/>
  <c r="D8" i="1"/>
  <c r="D7" i="1" s="1"/>
  <c r="C15" i="1"/>
  <c r="C13" i="1" s="1"/>
  <c r="O8" i="1"/>
  <c r="R10" i="5"/>
  <c r="P8" i="5"/>
  <c r="P7" i="5" s="1"/>
  <c r="N13" i="5"/>
  <c r="N7" i="5" s="1"/>
  <c r="G7" i="1" l="1"/>
  <c r="M8" i="1"/>
  <c r="M7" i="1" s="1"/>
  <c r="C8" i="5"/>
  <c r="C7" i="5" s="1"/>
  <c r="M13" i="5"/>
  <c r="C7" i="1"/>
  <c r="R15" i="1"/>
  <c r="R13" i="1" s="1"/>
  <c r="R10" i="1"/>
  <c r="R8" i="1" s="1"/>
  <c r="M7" i="5"/>
  <c r="R8" i="5"/>
  <c r="R13" i="5"/>
  <c r="D9" i="2"/>
  <c r="D10" i="2"/>
  <c r="D11" i="2"/>
  <c r="E12" i="2"/>
  <c r="F12" i="2"/>
  <c r="R7" i="1" l="1"/>
  <c r="R7" i="5"/>
  <c r="D12" i="2"/>
  <c r="L9" i="2" l="1"/>
  <c r="G11" i="2" l="1"/>
  <c r="G10" i="2"/>
  <c r="K11" i="2" l="1"/>
  <c r="B12" i="2"/>
  <c r="M9" i="2"/>
  <c r="M10" i="2"/>
  <c r="L10" i="2"/>
  <c r="C10" i="2"/>
  <c r="C12" i="2" s="1"/>
  <c r="K10" i="2" l="1"/>
  <c r="M11" i="2"/>
  <c r="M12" i="2" s="1"/>
  <c r="L11" i="2"/>
  <c r="L12" i="2" s="1"/>
  <c r="G9" i="2"/>
  <c r="G12" i="2" s="1"/>
  <c r="K9" i="2" l="1"/>
  <c r="K12" i="2" s="1"/>
</calcChain>
</file>

<file path=xl/sharedStrings.xml><?xml version="1.0" encoding="utf-8"?>
<sst xmlns="http://schemas.openxmlformats.org/spreadsheetml/2006/main" count="101" uniqueCount="51">
  <si>
    <t>в т.ч.</t>
  </si>
  <si>
    <t>Разом</t>
  </si>
  <si>
    <t>дрова</t>
  </si>
  <si>
    <t>Звіт</t>
  </si>
  <si>
    <t>Господарство</t>
  </si>
  <si>
    <t>Розрахункова, куб.м</t>
  </si>
  <si>
    <t>Площа, га</t>
  </si>
  <si>
    <t>Згідно лісорубних квитків</t>
  </si>
  <si>
    <t>Заготовлено</t>
  </si>
  <si>
    <t>Залишок по л/к</t>
  </si>
  <si>
    <t>Всього,м3</t>
  </si>
  <si>
    <t>ділова</t>
  </si>
  <si>
    <t>Всього по ЛГ</t>
  </si>
  <si>
    <t>хлисти</t>
  </si>
  <si>
    <t>Виконання сортиментної структури</t>
  </si>
  <si>
    <t>№ з/п</t>
  </si>
  <si>
    <t>Найменування сортиментів</t>
  </si>
  <si>
    <t>хвойні</t>
  </si>
  <si>
    <t>твердолистяні</t>
  </si>
  <si>
    <t>м'ягколистяні</t>
  </si>
  <si>
    <t>всього</t>
  </si>
  <si>
    <t>сосна</t>
  </si>
  <si>
    <t>ялина</t>
  </si>
  <si>
    <t>дуб</t>
  </si>
  <si>
    <t>граб</t>
  </si>
  <si>
    <t>ясен</t>
  </si>
  <si>
    <t>інші</t>
  </si>
  <si>
    <t>осика</t>
  </si>
  <si>
    <t>вільха</t>
  </si>
  <si>
    <t>береза</t>
  </si>
  <si>
    <t>Лісопродукція - всього</t>
  </si>
  <si>
    <t>деревина дровяна НП</t>
  </si>
  <si>
    <t>клен</t>
  </si>
  <si>
    <t>B</t>
  </si>
  <si>
    <t>C</t>
  </si>
  <si>
    <t>D</t>
  </si>
  <si>
    <t>Хлисти (на залишку)</t>
  </si>
  <si>
    <t>РГК</t>
  </si>
  <si>
    <t>лісоматеріали круглі, всього</t>
  </si>
  <si>
    <t>деревина дровяна, всього</t>
  </si>
  <si>
    <t xml:space="preserve"> в т.ч. деревина дровяна ПВ</t>
  </si>
  <si>
    <t>в т.ч. по класах якості А</t>
  </si>
  <si>
    <t>РПЗЛГ</t>
  </si>
  <si>
    <t>про використання лісосічного фонду по ДП "Рафалівський лісгосп"</t>
  </si>
  <si>
    <t>Хвойне</t>
  </si>
  <si>
    <t>Твердолистяне</t>
  </si>
  <si>
    <t>Мягколистяне</t>
  </si>
  <si>
    <t/>
  </si>
  <si>
    <t>по рубкам формування і оздоровлення лісів за лютий 2021 року по ДП "Рафалівський лісгосп"</t>
  </si>
  <si>
    <t>лісосічного фонду за лютий 2021 року по ДП "Рафалівський лісгосп"</t>
  </si>
  <si>
    <t>за лютий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</si>
</sst>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2" borderId="1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" fontId="3" fillId="0" borderId="3" xfId="0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1" fontId="3" fillId="3" borderId="3" xfId="0" applyNumberFormat="1" applyFont="1" applyFill="1" applyBorder="1"/>
    <xf numFmtId="0" fontId="2" fillId="3" borderId="3" xfId="0" applyFont="1" applyFill="1" applyBorder="1" applyAlignment="1">
      <alignment horizontal="right"/>
    </xf>
    <xf numFmtId="0" fontId="0" fillId="0" borderId="0" xfId="0" quotePrefix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24"/>
  <sheetViews>
    <sheetView tabSelected="1" zoomScale="90" zoomScaleNormal="90" zoomScaleSheetLayoutView="85" workbookViewId="0">
      <selection activeCell="O13" sqref="O13"/>
    </sheetView>
  </sheetViews>
  <sheetFormatPr defaultRowHeight="15" x14ac:dyDescent="0.25"/>
  <cols>
    <col min="1" max="1" width="4.7109375" customWidth="1"/>
    <col min="2" max="2" width="35" customWidth="1"/>
    <col min="3" max="3" width="13.28515625" customWidth="1"/>
    <col min="4" max="4" width="10.5703125" bestFit="1" customWidth="1"/>
    <col min="5" max="5" width="10.42578125" customWidth="1"/>
    <col min="6" max="6" width="10" customWidth="1"/>
    <col min="7" max="7" width="9.28515625" bestFit="1" customWidth="1"/>
    <col min="8" max="8" width="10.5703125" bestFit="1" customWidth="1"/>
    <col min="9" max="10" width="9.28515625" bestFit="1" customWidth="1"/>
    <col min="13" max="13" width="12.7109375" customWidth="1"/>
    <col min="14" max="16" width="9.28515625" bestFit="1" customWidth="1"/>
    <col min="17" max="17" width="9.28515625" customWidth="1"/>
    <col min="18" max="18" width="13.140625" customWidth="1"/>
  </cols>
  <sheetData>
    <row r="1" spans="1:19" ht="18.75" x14ac:dyDescent="0.3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9" ht="18.75" x14ac:dyDescent="0.3">
      <c r="A2" s="39" t="s">
        <v>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9" ht="18.75" x14ac:dyDescent="0.3">
      <c r="A3" s="27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 t="s">
        <v>37</v>
      </c>
      <c r="Q3" s="50"/>
      <c r="R3" s="51"/>
    </row>
    <row r="4" spans="1:19" ht="18.75" customHeight="1" x14ac:dyDescent="0.3">
      <c r="A4" s="40" t="s">
        <v>15</v>
      </c>
      <c r="B4" s="40" t="s">
        <v>16</v>
      </c>
      <c r="C4" s="47" t="s">
        <v>17</v>
      </c>
      <c r="D4" s="48"/>
      <c r="E4" s="48"/>
      <c r="F4" s="49"/>
      <c r="G4" s="43" t="s">
        <v>18</v>
      </c>
      <c r="H4" s="43"/>
      <c r="I4" s="43"/>
      <c r="J4" s="43"/>
      <c r="K4" s="43"/>
      <c r="L4" s="43"/>
      <c r="M4" s="47" t="s">
        <v>19</v>
      </c>
      <c r="N4" s="48"/>
      <c r="O4" s="48"/>
      <c r="P4" s="48"/>
      <c r="Q4" s="49"/>
      <c r="R4" s="44" t="s">
        <v>1</v>
      </c>
    </row>
    <row r="5" spans="1:19" ht="18.75" x14ac:dyDescent="0.3">
      <c r="A5" s="41"/>
      <c r="B5" s="41"/>
      <c r="C5" s="44" t="s">
        <v>20</v>
      </c>
      <c r="D5" s="47" t="s">
        <v>0</v>
      </c>
      <c r="E5" s="48"/>
      <c r="F5" s="49"/>
      <c r="G5" s="44" t="s">
        <v>20</v>
      </c>
      <c r="H5" s="43" t="s">
        <v>0</v>
      </c>
      <c r="I5" s="43"/>
      <c r="J5" s="43"/>
      <c r="K5" s="43"/>
      <c r="L5" s="43"/>
      <c r="M5" s="45" t="s">
        <v>20</v>
      </c>
      <c r="N5" s="47" t="s">
        <v>0</v>
      </c>
      <c r="O5" s="48"/>
      <c r="P5" s="48"/>
      <c r="Q5" s="49"/>
      <c r="R5" s="45"/>
    </row>
    <row r="6" spans="1:19" ht="18.75" x14ac:dyDescent="0.3">
      <c r="A6" s="42"/>
      <c r="B6" s="42"/>
      <c r="C6" s="46"/>
      <c r="D6" s="15" t="s">
        <v>21</v>
      </c>
      <c r="E6" s="15" t="s">
        <v>22</v>
      </c>
      <c r="F6" s="15" t="s">
        <v>26</v>
      </c>
      <c r="G6" s="46"/>
      <c r="H6" s="7" t="s">
        <v>23</v>
      </c>
      <c r="I6" s="7" t="s">
        <v>24</v>
      </c>
      <c r="J6" s="7" t="s">
        <v>25</v>
      </c>
      <c r="K6" s="7" t="s">
        <v>32</v>
      </c>
      <c r="L6" s="7" t="s">
        <v>26</v>
      </c>
      <c r="M6" s="46"/>
      <c r="N6" s="15" t="s">
        <v>27</v>
      </c>
      <c r="O6" s="15" t="s">
        <v>28</v>
      </c>
      <c r="P6" s="15" t="s">
        <v>29</v>
      </c>
      <c r="Q6" s="15" t="s">
        <v>26</v>
      </c>
      <c r="R6" s="46"/>
    </row>
    <row r="7" spans="1:19" ht="18.75" x14ac:dyDescent="0.3">
      <c r="A7" s="31">
        <v>1</v>
      </c>
      <c r="B7" s="32" t="s">
        <v>30</v>
      </c>
      <c r="C7" s="33">
        <f>C8+C13+C16</f>
        <v>4272.2173999999995</v>
      </c>
      <c r="D7" s="33">
        <f t="shared" ref="D7:Q7" si="0">D8+D13+D16</f>
        <v>3940.9929999999995</v>
      </c>
      <c r="E7" s="33">
        <f t="shared" si="0"/>
        <v>331.2244</v>
      </c>
      <c r="F7" s="33">
        <f t="shared" si="0"/>
        <v>0</v>
      </c>
      <c r="G7" s="33">
        <f t="shared" si="0"/>
        <v>552.22900000000004</v>
      </c>
      <c r="H7" s="33">
        <f t="shared" si="0"/>
        <v>241.00600000000003</v>
      </c>
      <c r="I7" s="33">
        <f t="shared" si="0"/>
        <v>298.17</v>
      </c>
      <c r="J7" s="33">
        <f t="shared" si="0"/>
        <v>11.04</v>
      </c>
      <c r="K7" s="33">
        <f t="shared" si="0"/>
        <v>2.0129999999999999</v>
      </c>
      <c r="L7" s="33">
        <f t="shared" si="0"/>
        <v>0</v>
      </c>
      <c r="M7" s="33">
        <f t="shared" si="0"/>
        <v>2159.8442</v>
      </c>
      <c r="N7" s="33">
        <f t="shared" si="0"/>
        <v>91.486000000000004</v>
      </c>
      <c r="O7" s="33">
        <f>O8+O13+O16</f>
        <v>1609.3951999999999</v>
      </c>
      <c r="P7" s="33">
        <f t="shared" si="0"/>
        <v>454.62200000000001</v>
      </c>
      <c r="Q7" s="33">
        <f t="shared" si="0"/>
        <v>4.3410000000000002</v>
      </c>
      <c r="R7" s="33">
        <f>R8+R13+R16</f>
        <v>6984.2905999999994</v>
      </c>
      <c r="S7" s="2"/>
    </row>
    <row r="8" spans="1:19" ht="18.75" x14ac:dyDescent="0.3">
      <c r="A8" s="31">
        <v>2</v>
      </c>
      <c r="B8" s="34" t="s">
        <v>38</v>
      </c>
      <c r="C8" s="33">
        <f>C9+C10+C11+C12</f>
        <v>3772.8033999999998</v>
      </c>
      <c r="D8" s="33">
        <f>D9+D10+D11+D12</f>
        <v>3529.3759999999993</v>
      </c>
      <c r="E8" s="33">
        <f t="shared" ref="E8:R8" si="1">E9+E10+E11+E12</f>
        <v>243.42740000000001</v>
      </c>
      <c r="F8" s="33">
        <f t="shared" si="1"/>
        <v>0</v>
      </c>
      <c r="G8" s="33">
        <f t="shared" si="1"/>
        <v>446.62300000000005</v>
      </c>
      <c r="H8" s="33">
        <f t="shared" si="1"/>
        <v>217.46900000000002</v>
      </c>
      <c r="I8" s="33">
        <f t="shared" si="1"/>
        <v>218.114</v>
      </c>
      <c r="J8" s="33">
        <f t="shared" si="1"/>
        <v>11.04</v>
      </c>
      <c r="K8" s="33">
        <f t="shared" si="1"/>
        <v>0</v>
      </c>
      <c r="L8" s="33">
        <f t="shared" si="1"/>
        <v>0</v>
      </c>
      <c r="M8" s="33">
        <f t="shared" si="1"/>
        <v>1376.0219999999999</v>
      </c>
      <c r="N8" s="33">
        <f t="shared" si="1"/>
        <v>66.076999999999998</v>
      </c>
      <c r="O8" s="33">
        <f t="shared" si="1"/>
        <v>1042.807</v>
      </c>
      <c r="P8" s="33">
        <f t="shared" si="1"/>
        <v>267.13799999999998</v>
      </c>
      <c r="Q8" s="33">
        <f t="shared" si="1"/>
        <v>0</v>
      </c>
      <c r="R8" s="33">
        <f t="shared" si="1"/>
        <v>5595.4483999999993</v>
      </c>
    </row>
    <row r="9" spans="1:19" ht="18.75" x14ac:dyDescent="0.3">
      <c r="A9" s="7"/>
      <c r="B9" s="9" t="s">
        <v>41</v>
      </c>
      <c r="C9" s="33">
        <f t="shared" ref="C9:C16" si="2">D9+E9+F9</f>
        <v>371.89600000000002</v>
      </c>
      <c r="D9" s="30">
        <f>151.359+111.96-19+74.48+53.097</f>
        <v>371.89600000000002</v>
      </c>
      <c r="E9" s="30"/>
      <c r="F9" s="30"/>
      <c r="G9" s="33">
        <f t="shared" ref="G9:G16" si="3">H9+I9+J9+K9+L9</f>
        <v>0</v>
      </c>
      <c r="H9" s="30"/>
      <c r="I9" s="30"/>
      <c r="J9" s="30"/>
      <c r="K9" s="30"/>
      <c r="L9" s="30"/>
      <c r="M9" s="33">
        <f t="shared" ref="M9:M16" si="4">N9+O9+P9+Q9</f>
        <v>581.26900000000001</v>
      </c>
      <c r="N9" s="30">
        <f>12.566</f>
        <v>12.566000000000001</v>
      </c>
      <c r="O9" s="30">
        <f>31.534+189.118-37+44.392+267.315</f>
        <v>495.35899999999998</v>
      </c>
      <c r="P9" s="30">
        <f>5.73+21.758-5+2.746+48.11</f>
        <v>73.343999999999994</v>
      </c>
      <c r="Q9" s="30"/>
      <c r="R9" s="33">
        <f>C9+G9+M9</f>
        <v>953.16499999999996</v>
      </c>
    </row>
    <row r="10" spans="1:19" ht="18.75" x14ac:dyDescent="0.3">
      <c r="A10" s="7"/>
      <c r="B10" s="9" t="s">
        <v>33</v>
      </c>
      <c r="C10" s="33">
        <f t="shared" si="2"/>
        <v>1025.559</v>
      </c>
      <c r="D10" s="30">
        <f>188.043+251.039+422.604+163.873</f>
        <v>1025.559</v>
      </c>
      <c r="E10" s="30"/>
      <c r="F10" s="30"/>
      <c r="G10" s="33">
        <f t="shared" si="3"/>
        <v>0</v>
      </c>
      <c r="H10" s="30"/>
      <c r="I10" s="30"/>
      <c r="J10" s="30"/>
      <c r="K10" s="30"/>
      <c r="L10" s="30"/>
      <c r="M10" s="33">
        <f t="shared" si="4"/>
        <v>581.65300000000002</v>
      </c>
      <c r="N10" s="30">
        <f>6.461+37.644</f>
        <v>44.104999999999997</v>
      </c>
      <c r="O10" s="30">
        <f>57.65+159.588-70+81.328+206.306</f>
        <v>434.87200000000001</v>
      </c>
      <c r="P10" s="30">
        <f>32.457+32.538+37.681</f>
        <v>102.676</v>
      </c>
      <c r="Q10" s="30"/>
      <c r="R10" s="33">
        <f>C10+G10+M10</f>
        <v>1607.212</v>
      </c>
    </row>
    <row r="11" spans="1:19" ht="18.75" x14ac:dyDescent="0.3">
      <c r="A11" s="7"/>
      <c r="B11" s="9" t="s">
        <v>34</v>
      </c>
      <c r="C11" s="33">
        <f t="shared" si="2"/>
        <v>1930.0939999999998</v>
      </c>
      <c r="D11" s="30">
        <f>327.631+140.33+402.294+73.761+595.307+87.553+169.881-90</f>
        <v>1706.7569999999998</v>
      </c>
      <c r="E11" s="30">
        <f>6.68+21.614-4+199.043</f>
        <v>223.33700000000002</v>
      </c>
      <c r="F11" s="30"/>
      <c r="G11" s="33">
        <f t="shared" si="3"/>
        <v>380.12200000000001</v>
      </c>
      <c r="H11" s="30">
        <f>14.925+21.984+114.059</f>
        <v>150.96800000000002</v>
      </c>
      <c r="I11" s="30">
        <f>155.072+63.042</f>
        <v>218.114</v>
      </c>
      <c r="J11" s="30">
        <f>11.04</f>
        <v>11.04</v>
      </c>
      <c r="K11" s="30"/>
      <c r="L11" s="30"/>
      <c r="M11" s="33">
        <f t="shared" si="4"/>
        <v>213.1</v>
      </c>
      <c r="N11" s="30">
        <f>5.47+3.936</f>
        <v>9.4059999999999988</v>
      </c>
      <c r="O11" s="30">
        <f>60.209+44.138-30+38.229</f>
        <v>112.57600000000001</v>
      </c>
      <c r="P11" s="30">
        <f>35.419+9.56+46.139</f>
        <v>91.117999999999995</v>
      </c>
      <c r="Q11" s="30"/>
      <c r="R11" s="33">
        <f>C11+G11+M11</f>
        <v>2523.3159999999998</v>
      </c>
    </row>
    <row r="12" spans="1:19" ht="18.75" x14ac:dyDescent="0.3">
      <c r="A12" s="7"/>
      <c r="B12" s="9" t="s">
        <v>35</v>
      </c>
      <c r="C12" s="33">
        <f t="shared" si="2"/>
        <v>445.25439999999998</v>
      </c>
      <c r="D12" s="30">
        <f>109.598+148.116+0.931+166.519</f>
        <v>425.16399999999999</v>
      </c>
      <c r="E12" s="30">
        <f>1.0124+17.96+1.118</f>
        <v>20.090399999999999</v>
      </c>
      <c r="F12" s="30"/>
      <c r="G12" s="33">
        <f t="shared" si="3"/>
        <v>66.501000000000005</v>
      </c>
      <c r="H12" s="30">
        <f>66.501</f>
        <v>66.501000000000005</v>
      </c>
      <c r="I12" s="30"/>
      <c r="J12" s="30"/>
      <c r="K12" s="30"/>
      <c r="L12" s="30"/>
      <c r="M12" s="33">
        <f t="shared" si="4"/>
        <v>0</v>
      </c>
      <c r="N12" s="30"/>
      <c r="O12" s="30"/>
      <c r="P12" s="30"/>
      <c r="Q12" s="30"/>
      <c r="R12" s="33">
        <f>C12+G12+M12</f>
        <v>511.75540000000001</v>
      </c>
    </row>
    <row r="13" spans="1:19" ht="18.75" x14ac:dyDescent="0.3">
      <c r="A13" s="31">
        <v>3</v>
      </c>
      <c r="B13" s="34" t="s">
        <v>39</v>
      </c>
      <c r="C13" s="33">
        <f>C14+C15</f>
        <v>322.584</v>
      </c>
      <c r="D13" s="33">
        <f t="shared" ref="D13:R13" si="5">D14+D15</f>
        <v>255.577</v>
      </c>
      <c r="E13" s="33">
        <f t="shared" si="5"/>
        <v>67.007000000000005</v>
      </c>
      <c r="F13" s="33">
        <f t="shared" si="5"/>
        <v>0</v>
      </c>
      <c r="G13" s="33">
        <f t="shared" si="5"/>
        <v>105.60599999999999</v>
      </c>
      <c r="H13" s="33">
        <f t="shared" si="5"/>
        <v>23.536999999999999</v>
      </c>
      <c r="I13" s="33">
        <f t="shared" si="5"/>
        <v>80.055999999999997</v>
      </c>
      <c r="J13" s="33">
        <f t="shared" si="5"/>
        <v>0</v>
      </c>
      <c r="K13" s="33">
        <f t="shared" si="5"/>
        <v>2.0129999999999999</v>
      </c>
      <c r="L13" s="33">
        <f t="shared" si="5"/>
        <v>0</v>
      </c>
      <c r="M13" s="33">
        <f t="shared" si="5"/>
        <v>422.33299999999997</v>
      </c>
      <c r="N13" s="33">
        <f t="shared" si="5"/>
        <v>24.728999999999999</v>
      </c>
      <c r="O13" s="33">
        <f t="shared" si="5"/>
        <v>245.84899999999999</v>
      </c>
      <c r="P13" s="33">
        <f t="shared" si="5"/>
        <v>147.41400000000002</v>
      </c>
      <c r="Q13" s="33">
        <f t="shared" si="5"/>
        <v>4.3410000000000002</v>
      </c>
      <c r="R13" s="33">
        <f t="shared" si="5"/>
        <v>850.52299999999991</v>
      </c>
    </row>
    <row r="14" spans="1:19" ht="18.75" x14ac:dyDescent="0.3">
      <c r="A14" s="7"/>
      <c r="B14" s="9" t="s">
        <v>40</v>
      </c>
      <c r="C14" s="33">
        <f>D14+E14+F14</f>
        <v>173.185</v>
      </c>
      <c r="D14" s="30">
        <v>142.465</v>
      </c>
      <c r="E14" s="30">
        <v>30.72</v>
      </c>
      <c r="F14" s="30"/>
      <c r="G14" s="33">
        <f>H14+I14+J14+K14+L14</f>
        <v>0</v>
      </c>
      <c r="H14" s="30"/>
      <c r="I14" s="30"/>
      <c r="J14" s="30"/>
      <c r="K14" s="30"/>
      <c r="L14" s="30"/>
      <c r="M14" s="33">
        <f>N14+O14+P14+Q14</f>
        <v>0</v>
      </c>
      <c r="N14" s="30"/>
      <c r="O14" s="30"/>
      <c r="P14" s="30"/>
      <c r="Q14" s="30"/>
      <c r="R14" s="33">
        <f>C14+G14+M14</f>
        <v>173.185</v>
      </c>
    </row>
    <row r="15" spans="1:19" ht="18.75" x14ac:dyDescent="0.3">
      <c r="A15" s="7"/>
      <c r="B15" s="9" t="s">
        <v>31</v>
      </c>
      <c r="C15" s="33">
        <f>D15+E15+F15</f>
        <v>149.399</v>
      </c>
      <c r="D15" s="30">
        <f>33.904+3.544+75.664</f>
        <v>113.11199999999999</v>
      </c>
      <c r="E15" s="30">
        <f>3.752+32.535</f>
        <v>36.286999999999999</v>
      </c>
      <c r="F15" s="30"/>
      <c r="G15" s="33">
        <f>H15+I15+J15+K15+L15</f>
        <v>105.60599999999999</v>
      </c>
      <c r="H15" s="30">
        <f>1.538+21.999</f>
        <v>23.536999999999999</v>
      </c>
      <c r="I15" s="30">
        <f>58.742+21.314</f>
        <v>80.055999999999997</v>
      </c>
      <c r="J15" s="30"/>
      <c r="K15" s="30">
        <f>2.013</f>
        <v>2.0129999999999999</v>
      </c>
      <c r="L15" s="30"/>
      <c r="M15" s="33">
        <f>N15+O15+P15+Q15</f>
        <v>422.33299999999997</v>
      </c>
      <c r="N15" s="30">
        <f>4.1+20.629</f>
        <v>24.728999999999999</v>
      </c>
      <c r="O15" s="30">
        <f>48.268+35.356+162.225</f>
        <v>245.84899999999999</v>
      </c>
      <c r="P15" s="30">
        <f>38.072+14.463+94.879</f>
        <v>147.41400000000002</v>
      </c>
      <c r="Q15" s="30">
        <f>4.341</f>
        <v>4.3410000000000002</v>
      </c>
      <c r="R15" s="33">
        <f>C15+G15+M15</f>
        <v>677.33799999999997</v>
      </c>
    </row>
    <row r="16" spans="1:19" ht="18.75" x14ac:dyDescent="0.3">
      <c r="A16" s="7">
        <v>4</v>
      </c>
      <c r="B16" s="8" t="s">
        <v>36</v>
      </c>
      <c r="C16" s="33">
        <f t="shared" si="2"/>
        <v>176.82999999999998</v>
      </c>
      <c r="D16" s="30">
        <f>237.04-81</f>
        <v>156.04</v>
      </c>
      <c r="E16" s="30">
        <f>20.79</f>
        <v>20.79</v>
      </c>
      <c r="F16" s="30"/>
      <c r="G16" s="33">
        <f t="shared" si="3"/>
        <v>0</v>
      </c>
      <c r="H16" s="30"/>
      <c r="I16" s="30"/>
      <c r="J16" s="30"/>
      <c r="K16" s="30"/>
      <c r="L16" s="30"/>
      <c r="M16" s="33">
        <f t="shared" si="4"/>
        <v>361.48919999999998</v>
      </c>
      <c r="N16" s="30">
        <f>0.68</f>
        <v>0.68</v>
      </c>
      <c r="O16" s="30">
        <f>320.7392</f>
        <v>320.73919999999998</v>
      </c>
      <c r="P16" s="30">
        <f>40.07</f>
        <v>40.07</v>
      </c>
      <c r="Q16" s="30"/>
      <c r="R16" s="33">
        <f>C16+G16+M16</f>
        <v>538.31919999999991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35" t="s">
        <v>47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2" spans="1:14" x14ac:dyDescent="0.25">
      <c r="C22" s="1"/>
    </row>
    <row r="23" spans="1:14" x14ac:dyDescent="0.25">
      <c r="C23" s="1"/>
    </row>
    <row r="24" spans="1:14" x14ac:dyDescent="0.25">
      <c r="C24" s="1"/>
    </row>
  </sheetData>
  <mergeCells count="15">
    <mergeCell ref="A1:R1"/>
    <mergeCell ref="A2:R2"/>
    <mergeCell ref="A4:A6"/>
    <mergeCell ref="B4:B6"/>
    <mergeCell ref="G4:L4"/>
    <mergeCell ref="R4:R6"/>
    <mergeCell ref="C5:C6"/>
    <mergeCell ref="G5:G6"/>
    <mergeCell ref="H5:L5"/>
    <mergeCell ref="M5:M6"/>
    <mergeCell ref="C4:F4"/>
    <mergeCell ref="D5:F5"/>
    <mergeCell ref="M4:Q4"/>
    <mergeCell ref="N5:Q5"/>
    <mergeCell ref="P3:R3"/>
  </mergeCells>
  <phoneticPr fontId="0" type="noConversion"/>
  <pageMargins left="0.78740157480314965" right="0.39370078740157483" top="0.98425196850393704" bottom="0.3937007874015748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M12"/>
  <sheetViews>
    <sheetView zoomScaleNormal="100" zoomScaleSheetLayoutView="100" workbookViewId="0">
      <selection activeCell="G23" sqref="G22:H23"/>
    </sheetView>
  </sheetViews>
  <sheetFormatPr defaultRowHeight="15" x14ac:dyDescent="0.25"/>
  <cols>
    <col min="1" max="1" width="27.28515625" customWidth="1"/>
    <col min="2" max="2" width="13.85546875" customWidth="1"/>
    <col min="3" max="3" width="18.5703125" customWidth="1"/>
    <col min="4" max="5" width="13" customWidth="1"/>
    <col min="6" max="6" width="12.85546875" customWidth="1"/>
    <col min="7" max="7" width="11.5703125" customWidth="1"/>
    <col min="11" max="11" width="10" customWidth="1"/>
  </cols>
  <sheetData>
    <row r="1" spans="1:13" x14ac:dyDescent="0.25">
      <c r="D1" s="3"/>
      <c r="G1" s="3"/>
      <c r="J1" s="3"/>
    </row>
    <row r="2" spans="1:13" x14ac:dyDescent="0.25">
      <c r="D2" s="3"/>
      <c r="G2" s="3"/>
      <c r="J2" s="3"/>
    </row>
    <row r="3" spans="1:13" x14ac:dyDescent="0.25">
      <c r="A3" s="55" t="s">
        <v>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3" x14ac:dyDescent="0.25">
      <c r="A4" s="55" t="s">
        <v>43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3" ht="15.75" thickBot="1" x14ac:dyDescent="0.3">
      <c r="A5" s="56" t="s">
        <v>50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 ht="15.75" thickBot="1" x14ac:dyDescent="0.3">
      <c r="A6" s="57" t="s">
        <v>4</v>
      </c>
      <c r="B6" s="59" t="s">
        <v>5</v>
      </c>
      <c r="C6" s="59" t="s">
        <v>6</v>
      </c>
      <c r="D6" s="52" t="s">
        <v>7</v>
      </c>
      <c r="E6" s="54"/>
      <c r="F6" s="53"/>
      <c r="G6" s="61" t="s">
        <v>8</v>
      </c>
      <c r="H6" s="62"/>
      <c r="I6" s="62"/>
      <c r="J6" s="63"/>
      <c r="K6" s="52" t="s">
        <v>9</v>
      </c>
      <c r="L6" s="54"/>
      <c r="M6" s="53"/>
    </row>
    <row r="7" spans="1:13" ht="15.75" customHeight="1" thickBot="1" x14ac:dyDescent="0.3">
      <c r="A7" s="58"/>
      <c r="B7" s="60"/>
      <c r="C7" s="60"/>
      <c r="D7" s="59" t="s">
        <v>10</v>
      </c>
      <c r="E7" s="52" t="s">
        <v>0</v>
      </c>
      <c r="F7" s="53"/>
      <c r="G7" s="59" t="s">
        <v>10</v>
      </c>
      <c r="H7" s="52" t="s">
        <v>0</v>
      </c>
      <c r="I7" s="54"/>
      <c r="J7" s="53"/>
      <c r="K7" s="59" t="s">
        <v>10</v>
      </c>
      <c r="L7" s="52" t="s">
        <v>0</v>
      </c>
      <c r="M7" s="53"/>
    </row>
    <row r="8" spans="1:13" ht="15.75" thickBot="1" x14ac:dyDescent="0.3">
      <c r="A8" s="58"/>
      <c r="B8" s="60"/>
      <c r="C8" s="60"/>
      <c r="D8" s="60"/>
      <c r="E8" s="12" t="s">
        <v>11</v>
      </c>
      <c r="F8" s="12" t="s">
        <v>2</v>
      </c>
      <c r="G8" s="60"/>
      <c r="H8" s="12" t="s">
        <v>11</v>
      </c>
      <c r="I8" s="12" t="s">
        <v>2</v>
      </c>
      <c r="J8" s="10" t="s">
        <v>13</v>
      </c>
      <c r="K8" s="60"/>
      <c r="L8" s="12" t="s">
        <v>11</v>
      </c>
      <c r="M8" s="12" t="s">
        <v>2</v>
      </c>
    </row>
    <row r="9" spans="1:13" ht="20.100000000000001" customHeight="1" thickBot="1" x14ac:dyDescent="0.3">
      <c r="A9" s="25" t="s">
        <v>44</v>
      </c>
      <c r="B9" s="18">
        <v>59500</v>
      </c>
      <c r="C9" s="18">
        <v>95.9</v>
      </c>
      <c r="D9" s="18">
        <f>E9+F9</f>
        <v>10049</v>
      </c>
      <c r="E9" s="18">
        <f>232+304+182+678+219+309+325+226+207+52+158+382+289+350+219+547+436+431+296</f>
        <v>5842</v>
      </c>
      <c r="F9" s="18">
        <f>128+326+21+454+25+363+20+125+7+212+12+244+18+246+18+171+15+35+2+173+9+219+16+272+28+246+18+70+84+7+14+297+16+108+15+162+11</f>
        <v>4207</v>
      </c>
      <c r="G9" s="17">
        <f>H9+I9+J9</f>
        <v>4273</v>
      </c>
      <c r="H9" s="17">
        <v>3773</v>
      </c>
      <c r="I9" s="17">
        <v>323</v>
      </c>
      <c r="J9" s="18">
        <v>177</v>
      </c>
      <c r="K9" s="18">
        <f>D9-G9</f>
        <v>5776</v>
      </c>
      <c r="L9" s="17">
        <f>E9-H9</f>
        <v>2069</v>
      </c>
      <c r="M9" s="19">
        <f>F9-I9</f>
        <v>3884</v>
      </c>
    </row>
    <row r="10" spans="1:13" ht="20.100000000000001" customHeight="1" thickBot="1" x14ac:dyDescent="0.3">
      <c r="A10" s="20" t="s">
        <v>45</v>
      </c>
      <c r="B10" s="14">
        <v>1940</v>
      </c>
      <c r="C10" s="14">
        <f>0.8+3</f>
        <v>3.8</v>
      </c>
      <c r="D10" s="14">
        <f>E10+F10</f>
        <v>0</v>
      </c>
      <c r="E10" s="14">
        <v>0</v>
      </c>
      <c r="F10" s="14">
        <v>0</v>
      </c>
      <c r="G10" s="13">
        <f>H10+I10+J10</f>
        <v>553</v>
      </c>
      <c r="H10" s="13">
        <v>0</v>
      </c>
      <c r="I10" s="13">
        <v>447</v>
      </c>
      <c r="J10" s="13">
        <v>106</v>
      </c>
      <c r="K10" s="18">
        <f t="shared" ref="K10:K11" si="0">D10-G10</f>
        <v>-553</v>
      </c>
      <c r="L10" s="13">
        <f>E10-H10</f>
        <v>0</v>
      </c>
      <c r="M10" s="21">
        <f>F10-I10</f>
        <v>-447</v>
      </c>
    </row>
    <row r="11" spans="1:13" ht="20.100000000000001" customHeight="1" thickBot="1" x14ac:dyDescent="0.3">
      <c r="A11" s="26" t="s">
        <v>46</v>
      </c>
      <c r="B11" s="23">
        <v>30540</v>
      </c>
      <c r="C11" s="23">
        <v>57</v>
      </c>
      <c r="D11" s="14">
        <f>E11+F11</f>
        <v>7420</v>
      </c>
      <c r="E11" s="23">
        <f>163+199+337+84+118+92+111+110+152+439+66+397+354</f>
        <v>2622</v>
      </c>
      <c r="F11" s="23">
        <f>309+18+330+26+316+29+99+9+481+31+456+24+308+27+358+19+384+23+442+54+149+9+511+45+303+38</f>
        <v>4798</v>
      </c>
      <c r="G11" s="22">
        <f>H11+I11+J11</f>
        <v>2158</v>
      </c>
      <c r="H11" s="22">
        <v>1376</v>
      </c>
      <c r="I11" s="22">
        <v>421</v>
      </c>
      <c r="J11" s="23">
        <v>361</v>
      </c>
      <c r="K11" s="18">
        <f t="shared" si="0"/>
        <v>5262</v>
      </c>
      <c r="L11" s="22">
        <f>E11-H11</f>
        <v>1246</v>
      </c>
      <c r="M11" s="24">
        <f>E11-H11</f>
        <v>1246</v>
      </c>
    </row>
    <row r="12" spans="1:13" ht="20.100000000000001" customHeight="1" thickBot="1" x14ac:dyDescent="0.3">
      <c r="A12" s="5" t="s">
        <v>12</v>
      </c>
      <c r="B12" s="4">
        <f t="shared" ref="B12:C12" si="1">SUM(B9:B11)</f>
        <v>91980</v>
      </c>
      <c r="C12" s="6">
        <f t="shared" si="1"/>
        <v>156.69999999999999</v>
      </c>
      <c r="D12" s="4">
        <f>SUM(D9:D11)</f>
        <v>17469</v>
      </c>
      <c r="E12" s="4">
        <f>SUM(E9:E11)</f>
        <v>8464</v>
      </c>
      <c r="F12" s="11">
        <f>SUM(F9:F11)</f>
        <v>9005</v>
      </c>
      <c r="G12" s="16">
        <f>SUM(G9:G11)</f>
        <v>6984</v>
      </c>
      <c r="H12" s="16">
        <v>0</v>
      </c>
      <c r="I12" s="16">
        <v>0</v>
      </c>
      <c r="J12" s="16">
        <v>0</v>
      </c>
      <c r="K12" s="16">
        <f>SUM(K9:K11)</f>
        <v>10485</v>
      </c>
      <c r="L12" s="16">
        <f>SUM(L9:L11)</f>
        <v>3315</v>
      </c>
      <c r="M12" s="16">
        <f>SUM(M9:M11)</f>
        <v>4683</v>
      </c>
    </row>
  </sheetData>
  <mergeCells count="15">
    <mergeCell ref="L7:M7"/>
    <mergeCell ref="K6:M6"/>
    <mergeCell ref="A3:L3"/>
    <mergeCell ref="A4:L4"/>
    <mergeCell ref="A5:L5"/>
    <mergeCell ref="A6:A8"/>
    <mergeCell ref="B6:B8"/>
    <mergeCell ref="C6:C8"/>
    <mergeCell ref="D6:F6"/>
    <mergeCell ref="D7:D8"/>
    <mergeCell ref="E7:F7"/>
    <mergeCell ref="G7:G8"/>
    <mergeCell ref="G6:J6"/>
    <mergeCell ref="H7:J7"/>
    <mergeCell ref="K7:K8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24"/>
  <sheetViews>
    <sheetView zoomScaleNormal="100" zoomScaleSheetLayoutView="85" workbookViewId="0">
      <selection activeCell="G25" sqref="G25"/>
    </sheetView>
  </sheetViews>
  <sheetFormatPr defaultRowHeight="15" x14ac:dyDescent="0.25"/>
  <cols>
    <col min="1" max="1" width="4.7109375" customWidth="1"/>
    <col min="2" max="2" width="35" customWidth="1"/>
    <col min="3" max="3" width="13.28515625" customWidth="1"/>
    <col min="4" max="4" width="10.5703125" bestFit="1" customWidth="1"/>
    <col min="5" max="5" width="10.42578125" customWidth="1"/>
    <col min="6" max="6" width="10" customWidth="1"/>
    <col min="7" max="7" width="9.28515625" bestFit="1" customWidth="1"/>
    <col min="8" max="8" width="10.5703125" bestFit="1" customWidth="1"/>
    <col min="9" max="10" width="9.28515625" bestFit="1" customWidth="1"/>
    <col min="13" max="13" width="12.7109375" customWidth="1"/>
    <col min="14" max="16" width="9.28515625" bestFit="1" customWidth="1"/>
    <col min="17" max="17" width="9.28515625" customWidth="1"/>
    <col min="18" max="18" width="13.140625" customWidth="1"/>
  </cols>
  <sheetData>
    <row r="1" spans="1:19" ht="18.75" x14ac:dyDescent="0.3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9" ht="18.75" x14ac:dyDescent="0.3">
      <c r="A2" s="39" t="s">
        <v>48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9" ht="18.75" x14ac:dyDescent="0.3">
      <c r="A3" s="27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 t="s">
        <v>42</v>
      </c>
      <c r="Q3" s="50"/>
      <c r="R3" s="51"/>
    </row>
    <row r="4" spans="1:19" ht="18.75" customHeight="1" x14ac:dyDescent="0.3">
      <c r="A4" s="40" t="s">
        <v>15</v>
      </c>
      <c r="B4" s="40" t="s">
        <v>16</v>
      </c>
      <c r="C4" s="47" t="s">
        <v>17</v>
      </c>
      <c r="D4" s="48"/>
      <c r="E4" s="48"/>
      <c r="F4" s="49"/>
      <c r="G4" s="43" t="s">
        <v>18</v>
      </c>
      <c r="H4" s="43"/>
      <c r="I4" s="43"/>
      <c r="J4" s="43"/>
      <c r="K4" s="43"/>
      <c r="L4" s="43"/>
      <c r="M4" s="47" t="s">
        <v>19</v>
      </c>
      <c r="N4" s="48"/>
      <c r="O4" s="48"/>
      <c r="P4" s="48"/>
      <c r="Q4" s="49"/>
      <c r="R4" s="44" t="s">
        <v>1</v>
      </c>
    </row>
    <row r="5" spans="1:19" ht="18.75" x14ac:dyDescent="0.3">
      <c r="A5" s="41"/>
      <c r="B5" s="41"/>
      <c r="C5" s="44" t="s">
        <v>20</v>
      </c>
      <c r="D5" s="47" t="s">
        <v>0</v>
      </c>
      <c r="E5" s="48"/>
      <c r="F5" s="49"/>
      <c r="G5" s="44" t="s">
        <v>20</v>
      </c>
      <c r="H5" s="43" t="s">
        <v>0</v>
      </c>
      <c r="I5" s="43"/>
      <c r="J5" s="43"/>
      <c r="K5" s="43"/>
      <c r="L5" s="43"/>
      <c r="M5" s="45" t="s">
        <v>20</v>
      </c>
      <c r="N5" s="47" t="s">
        <v>0</v>
      </c>
      <c r="O5" s="48"/>
      <c r="P5" s="48"/>
      <c r="Q5" s="49"/>
      <c r="R5" s="45"/>
    </row>
    <row r="6" spans="1:19" ht="18.75" x14ac:dyDescent="0.3">
      <c r="A6" s="42"/>
      <c r="B6" s="42"/>
      <c r="C6" s="46"/>
      <c r="D6" s="15" t="s">
        <v>21</v>
      </c>
      <c r="E6" s="15" t="s">
        <v>22</v>
      </c>
      <c r="F6" s="15" t="s">
        <v>26</v>
      </c>
      <c r="G6" s="46"/>
      <c r="H6" s="7" t="s">
        <v>23</v>
      </c>
      <c r="I6" s="7" t="s">
        <v>24</v>
      </c>
      <c r="J6" s="7" t="s">
        <v>25</v>
      </c>
      <c r="K6" s="7" t="s">
        <v>32</v>
      </c>
      <c r="L6" s="7" t="s">
        <v>26</v>
      </c>
      <c r="M6" s="46"/>
      <c r="N6" s="15" t="s">
        <v>27</v>
      </c>
      <c r="O6" s="15" t="s">
        <v>28</v>
      </c>
      <c r="P6" s="15" t="s">
        <v>29</v>
      </c>
      <c r="Q6" s="15" t="s">
        <v>26</v>
      </c>
      <c r="R6" s="46"/>
    </row>
    <row r="7" spans="1:19" ht="18.75" x14ac:dyDescent="0.3">
      <c r="A7" s="31">
        <v>1</v>
      </c>
      <c r="B7" s="32" t="s">
        <v>30</v>
      </c>
      <c r="C7" s="33">
        <f>C8+C13+C16</f>
        <v>1357.2699999999998</v>
      </c>
      <c r="D7" s="33">
        <f t="shared" ref="D7:Q7" si="0">D8+D13+D16</f>
        <v>1355.3050000000001</v>
      </c>
      <c r="E7" s="33">
        <f t="shared" si="0"/>
        <v>1.9650000000000001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33">
        <f t="shared" si="0"/>
        <v>10.044999999999998</v>
      </c>
      <c r="N7" s="33">
        <f t="shared" si="0"/>
        <v>0</v>
      </c>
      <c r="O7" s="33">
        <f t="shared" si="0"/>
        <v>0</v>
      </c>
      <c r="P7" s="33">
        <f t="shared" si="0"/>
        <v>10.044999999999998</v>
      </c>
      <c r="Q7" s="33">
        <f t="shared" si="0"/>
        <v>0</v>
      </c>
      <c r="R7" s="33">
        <f>R8+R13+R16</f>
        <v>1367.3149999999998</v>
      </c>
      <c r="S7" s="2"/>
    </row>
    <row r="8" spans="1:19" ht="18.75" x14ac:dyDescent="0.3">
      <c r="A8" s="31">
        <v>2</v>
      </c>
      <c r="B8" s="34" t="s">
        <v>38</v>
      </c>
      <c r="C8" s="33">
        <f>C9+C10+C11+C12</f>
        <v>849.43299999999999</v>
      </c>
      <c r="D8" s="33">
        <f t="shared" ref="D8:R8" si="1">D9+D10+D11+D12</f>
        <v>847.46800000000007</v>
      </c>
      <c r="E8" s="33">
        <f t="shared" si="1"/>
        <v>1.9650000000000001</v>
      </c>
      <c r="F8" s="33">
        <f t="shared" si="1"/>
        <v>0</v>
      </c>
      <c r="G8" s="33">
        <f t="shared" si="1"/>
        <v>0</v>
      </c>
      <c r="H8" s="33">
        <f t="shared" si="1"/>
        <v>0</v>
      </c>
      <c r="I8" s="33">
        <f t="shared" si="1"/>
        <v>0</v>
      </c>
      <c r="J8" s="33">
        <f t="shared" si="1"/>
        <v>0</v>
      </c>
      <c r="K8" s="33">
        <f t="shared" si="1"/>
        <v>0</v>
      </c>
      <c r="L8" s="33">
        <f t="shared" si="1"/>
        <v>0</v>
      </c>
      <c r="M8" s="33">
        <f t="shared" si="1"/>
        <v>3.0019999999999998</v>
      </c>
      <c r="N8" s="33">
        <f t="shared" si="1"/>
        <v>0</v>
      </c>
      <c r="O8" s="33">
        <f t="shared" si="1"/>
        <v>0</v>
      </c>
      <c r="P8" s="33">
        <f t="shared" si="1"/>
        <v>3.0019999999999998</v>
      </c>
      <c r="Q8" s="33">
        <f t="shared" si="1"/>
        <v>0</v>
      </c>
      <c r="R8" s="33">
        <f t="shared" si="1"/>
        <v>852.43499999999995</v>
      </c>
    </row>
    <row r="9" spans="1:19" ht="18.75" x14ac:dyDescent="0.3">
      <c r="A9" s="7"/>
      <c r="B9" s="9" t="s">
        <v>41</v>
      </c>
      <c r="C9" s="33">
        <f t="shared" ref="C9:C16" si="2">D9+E9+F9</f>
        <v>16.029999999999998</v>
      </c>
      <c r="D9" s="30">
        <f>7.999+10.796-5+2.235</f>
        <v>16.029999999999998</v>
      </c>
      <c r="E9" s="30"/>
      <c r="F9" s="30"/>
      <c r="G9" s="33">
        <f t="shared" ref="G9:G16" si="3">H9+I9+J9+K9+L9</f>
        <v>0</v>
      </c>
      <c r="H9" s="30"/>
      <c r="I9" s="30"/>
      <c r="J9" s="30"/>
      <c r="K9" s="30"/>
      <c r="L9" s="30"/>
      <c r="M9" s="33">
        <f t="shared" ref="M9:M16" si="4">N9+O9+P9+Q9</f>
        <v>1.974</v>
      </c>
      <c r="N9" s="30"/>
      <c r="O9" s="30"/>
      <c r="P9" s="30">
        <f>1.974</f>
        <v>1.974</v>
      </c>
      <c r="Q9" s="30"/>
      <c r="R9" s="33">
        <f>C9+G9+M9</f>
        <v>18.003999999999998</v>
      </c>
    </row>
    <row r="10" spans="1:19" ht="18.75" x14ac:dyDescent="0.3">
      <c r="A10" s="7"/>
      <c r="B10" s="9" t="s">
        <v>33</v>
      </c>
      <c r="C10" s="33">
        <f t="shared" si="2"/>
        <v>51.837000000000003</v>
      </c>
      <c r="D10" s="30">
        <f>11.522+11.126+15.291+7.56+6.338</f>
        <v>51.837000000000003</v>
      </c>
      <c r="E10" s="30"/>
      <c r="F10" s="30"/>
      <c r="G10" s="33">
        <f t="shared" si="3"/>
        <v>0</v>
      </c>
      <c r="H10" s="30"/>
      <c r="I10" s="30"/>
      <c r="J10" s="30"/>
      <c r="K10" s="30"/>
      <c r="L10" s="30"/>
      <c r="M10" s="33">
        <f t="shared" si="4"/>
        <v>1.028</v>
      </c>
      <c r="N10" s="30"/>
      <c r="O10" s="30"/>
      <c r="P10" s="30">
        <f>1.028</f>
        <v>1.028</v>
      </c>
      <c r="Q10" s="30"/>
      <c r="R10" s="33">
        <f>C10+G10+M10</f>
        <v>52.865000000000002</v>
      </c>
    </row>
    <row r="11" spans="1:19" ht="18.75" x14ac:dyDescent="0.3">
      <c r="A11" s="7"/>
      <c r="B11" s="9" t="s">
        <v>34</v>
      </c>
      <c r="C11" s="33">
        <f t="shared" si="2"/>
        <v>392.83800000000002</v>
      </c>
      <c r="D11" s="30">
        <f>51.937+44.92+8.051-7+44.511+36.56+86.646+35.199+19.809+0.204+63.82+8.181</f>
        <v>392.83800000000002</v>
      </c>
      <c r="E11" s="30"/>
      <c r="F11" s="30"/>
      <c r="G11" s="33">
        <f t="shared" si="3"/>
        <v>0</v>
      </c>
      <c r="H11" s="30"/>
      <c r="I11" s="30"/>
      <c r="J11" s="30"/>
      <c r="K11" s="30"/>
      <c r="L11" s="30"/>
      <c r="M11" s="33">
        <f t="shared" si="4"/>
        <v>0</v>
      </c>
      <c r="N11" s="30"/>
      <c r="O11" s="30"/>
      <c r="P11" s="30"/>
      <c r="Q11" s="30"/>
      <c r="R11" s="33">
        <f>C11+G11+M11</f>
        <v>392.83800000000002</v>
      </c>
    </row>
    <row r="12" spans="1:19" ht="18.75" x14ac:dyDescent="0.3">
      <c r="A12" s="7"/>
      <c r="B12" s="9" t="s">
        <v>35</v>
      </c>
      <c r="C12" s="33">
        <f t="shared" si="2"/>
        <v>388.72800000000001</v>
      </c>
      <c r="D12" s="30">
        <f>8.168+109.486+27.341+10.108+64.404+18.26+39.266+125.461+13.269-29</f>
        <v>386.76300000000003</v>
      </c>
      <c r="E12" s="30">
        <f>1.965</f>
        <v>1.9650000000000001</v>
      </c>
      <c r="F12" s="30"/>
      <c r="G12" s="33">
        <f t="shared" si="3"/>
        <v>0</v>
      </c>
      <c r="H12" s="30"/>
      <c r="I12" s="30"/>
      <c r="J12" s="30"/>
      <c r="K12" s="30"/>
      <c r="L12" s="30"/>
      <c r="M12" s="33">
        <f t="shared" si="4"/>
        <v>0</v>
      </c>
      <c r="N12" s="30"/>
      <c r="O12" s="30"/>
      <c r="P12" s="30"/>
      <c r="Q12" s="30"/>
      <c r="R12" s="33">
        <f>C12+G12+M12</f>
        <v>388.72800000000001</v>
      </c>
    </row>
    <row r="13" spans="1:19" ht="18.75" x14ac:dyDescent="0.3">
      <c r="A13" s="31">
        <v>3</v>
      </c>
      <c r="B13" s="34" t="s">
        <v>39</v>
      </c>
      <c r="C13" s="33">
        <f>C14+C15</f>
        <v>427.22699999999998</v>
      </c>
      <c r="D13" s="33">
        <f t="shared" ref="D13:R13" si="5">D14+D15</f>
        <v>427.22699999999998</v>
      </c>
      <c r="E13" s="33">
        <f t="shared" si="5"/>
        <v>0</v>
      </c>
      <c r="F13" s="33">
        <f t="shared" si="5"/>
        <v>0</v>
      </c>
      <c r="G13" s="33">
        <f t="shared" si="5"/>
        <v>0</v>
      </c>
      <c r="H13" s="33">
        <f t="shared" si="5"/>
        <v>0</v>
      </c>
      <c r="I13" s="33">
        <f t="shared" si="5"/>
        <v>0</v>
      </c>
      <c r="J13" s="33">
        <f t="shared" si="5"/>
        <v>0</v>
      </c>
      <c r="K13" s="33">
        <f t="shared" si="5"/>
        <v>0</v>
      </c>
      <c r="L13" s="33">
        <f t="shared" si="5"/>
        <v>0</v>
      </c>
      <c r="M13" s="33">
        <f t="shared" si="5"/>
        <v>7.0429999999999993</v>
      </c>
      <c r="N13" s="33">
        <f t="shared" si="5"/>
        <v>0</v>
      </c>
      <c r="O13" s="33">
        <f t="shared" si="5"/>
        <v>0</v>
      </c>
      <c r="P13" s="33">
        <f t="shared" si="5"/>
        <v>7.0429999999999993</v>
      </c>
      <c r="Q13" s="33">
        <f t="shared" si="5"/>
        <v>0</v>
      </c>
      <c r="R13" s="33">
        <f t="shared" si="5"/>
        <v>434.27</v>
      </c>
    </row>
    <row r="14" spans="1:19" ht="18.75" x14ac:dyDescent="0.3">
      <c r="A14" s="7"/>
      <c r="B14" s="9" t="s">
        <v>40</v>
      </c>
      <c r="C14" s="33">
        <f>D14+E14+F14</f>
        <v>38.555999999999997</v>
      </c>
      <c r="D14" s="30">
        <f>18.28+10.138+10.138</f>
        <v>38.555999999999997</v>
      </c>
      <c r="E14" s="30"/>
      <c r="F14" s="30"/>
      <c r="G14" s="33">
        <f>H14+I14+J14+K14+L14</f>
        <v>0</v>
      </c>
      <c r="H14" s="30"/>
      <c r="I14" s="30"/>
      <c r="J14" s="30"/>
      <c r="K14" s="30"/>
      <c r="L14" s="30"/>
      <c r="M14" s="33">
        <f>N14+O14+P14+Q14</f>
        <v>0</v>
      </c>
      <c r="N14" s="30"/>
      <c r="O14" s="30"/>
      <c r="P14" s="30"/>
      <c r="Q14" s="30"/>
      <c r="R14" s="33">
        <f>C14+G14+M14</f>
        <v>38.555999999999997</v>
      </c>
    </row>
    <row r="15" spans="1:19" ht="18.75" x14ac:dyDescent="0.3">
      <c r="A15" s="7"/>
      <c r="B15" s="9" t="s">
        <v>31</v>
      </c>
      <c r="C15" s="33">
        <f>D15+E15+F15</f>
        <v>388.67099999999999</v>
      </c>
      <c r="D15" s="30">
        <f>95.233+31.046+0.74+88.478+173.174</f>
        <v>388.67099999999999</v>
      </c>
      <c r="E15" s="30"/>
      <c r="F15" s="30"/>
      <c r="G15" s="33">
        <f>H15+I15+J15+K15+L15</f>
        <v>0</v>
      </c>
      <c r="H15" s="30"/>
      <c r="I15" s="30"/>
      <c r="J15" s="30"/>
      <c r="K15" s="30"/>
      <c r="L15" s="30"/>
      <c r="M15" s="33">
        <f>N15+O15+P15+Q15</f>
        <v>7.0429999999999993</v>
      </c>
      <c r="N15" s="30"/>
      <c r="O15" s="30"/>
      <c r="P15" s="30">
        <f>3.001+1.004+3.038</f>
        <v>7.0429999999999993</v>
      </c>
      <c r="Q15" s="30"/>
      <c r="R15" s="33">
        <f>C15+G15+M15</f>
        <v>395.714</v>
      </c>
    </row>
    <row r="16" spans="1:19" ht="18.75" x14ac:dyDescent="0.3">
      <c r="A16" s="7">
        <v>4</v>
      </c>
      <c r="B16" s="8" t="s">
        <v>36</v>
      </c>
      <c r="C16" s="33">
        <f t="shared" si="2"/>
        <v>80.61</v>
      </c>
      <c r="D16" s="30">
        <f>72.01+8.6</f>
        <v>80.61</v>
      </c>
      <c r="E16" s="30"/>
      <c r="F16" s="30"/>
      <c r="G16" s="33">
        <f t="shared" si="3"/>
        <v>0</v>
      </c>
      <c r="H16" s="30"/>
      <c r="I16" s="30"/>
      <c r="J16" s="30"/>
      <c r="K16" s="30"/>
      <c r="L16" s="30"/>
      <c r="M16" s="33">
        <f t="shared" si="4"/>
        <v>0</v>
      </c>
      <c r="N16" s="30"/>
      <c r="O16" s="30"/>
      <c r="P16" s="30"/>
      <c r="Q16" s="30"/>
      <c r="R16" s="33">
        <f>C16+G16+M16</f>
        <v>80.61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2" spans="1:14" x14ac:dyDescent="0.25">
      <c r="C22" s="1"/>
    </row>
    <row r="23" spans="1:14" x14ac:dyDescent="0.25">
      <c r="C23" s="1"/>
    </row>
    <row r="24" spans="1:14" x14ac:dyDescent="0.25">
      <c r="C24" s="1"/>
    </row>
  </sheetData>
  <mergeCells count="15">
    <mergeCell ref="A1:R1"/>
    <mergeCell ref="A2:R2"/>
    <mergeCell ref="P3:R3"/>
    <mergeCell ref="A4:A6"/>
    <mergeCell ref="B4:B6"/>
    <mergeCell ref="C4:F4"/>
    <mergeCell ref="G4:L4"/>
    <mergeCell ref="M4:Q4"/>
    <mergeCell ref="R4:R6"/>
    <mergeCell ref="C5:C6"/>
    <mergeCell ref="D5:F5"/>
    <mergeCell ref="G5:G6"/>
    <mergeCell ref="H5:L5"/>
    <mergeCell ref="M5:M6"/>
    <mergeCell ref="N5:Q5"/>
  </mergeCells>
  <pageMargins left="0.78740157480314965" right="0.39370078740157483" top="0.98425196850393704" bottom="0.3937007874015748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сорт.структура РГК</vt:lpstr>
      <vt:lpstr>Освоєння РГК</vt:lpstr>
      <vt:lpstr>сорт.структура РПЗЛГ</vt:lpstr>
      <vt:lpstr>'Освоєння РГК'!Область_друку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2015-06-05T13:50:24Z</cp:lastPrinted>
  <dcterms:created xsi:type="dcterms:W3CDTF">2006-09-28T05:33:49Z</dcterms:created>
  <dcterms:modified xsi:type="dcterms:W3CDTF">2021-03-15T14:51:40Z</dcterms:modified>
</cp:coreProperties>
</file>